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8_{C00C3C34-1FA5-4333-8FC1-685B46CB7F9C}" xr6:coauthVersionLast="45" xr6:coauthVersionMax="45" xr10:uidLastSave="{00000000-0000-0000-0000-000000000000}"/>
  <bookViews>
    <workbookView xWindow="-3495" yWindow="-14895" windowWidth="14400" windowHeight="7335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  <sheet name="Tablas" sheetId="610" r:id="rId7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7" i="163" l="1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 l="1"/>
  <c r="C186" i="163"/>
  <c r="D186" i="163"/>
  <c r="E186" i="163"/>
  <c r="F186" i="163"/>
  <c r="B186" i="12" l="1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 l="1"/>
  <c r="C185" i="163"/>
  <c r="D185" i="163"/>
  <c r="E185" i="163"/>
  <c r="F185" i="163"/>
  <c r="AB44" i="12" l="1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 l="1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C26" i="610" s="1"/>
  <c r="Z185" i="12"/>
  <c r="AA185" i="12"/>
  <c r="AG185" i="12"/>
  <c r="AH185" i="12"/>
  <c r="AI185" i="12"/>
  <c r="AJ185" i="12"/>
  <c r="AK185" i="12"/>
  <c r="AL185" i="12"/>
  <c r="AM185" i="12"/>
  <c r="AN185" i="12"/>
  <c r="C27" i="610" s="1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C28" i="610" s="1"/>
  <c r="AB43" i="12" l="1"/>
  <c r="AD43" i="12"/>
  <c r="AF43" i="12"/>
  <c r="W43" i="12"/>
  <c r="V43" i="12"/>
  <c r="AE43" i="12"/>
  <c r="AC43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E26" i="610" s="1"/>
  <c r="Z184" i="12"/>
  <c r="AA184" i="12"/>
  <c r="AG184" i="12"/>
  <c r="AH184" i="12"/>
  <c r="AI184" i="12"/>
  <c r="AJ184" i="12"/>
  <c r="AK184" i="12"/>
  <c r="AL184" i="12"/>
  <c r="AM184" i="12"/>
  <c r="AN184" i="12"/>
  <c r="E27" i="610" s="1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E28" i="610" s="1"/>
  <c r="B183" i="163" l="1"/>
  <c r="C183" i="163"/>
  <c r="D183" i="163"/>
  <c r="E183" i="163"/>
  <c r="F183" i="163"/>
  <c r="B183" i="12" l="1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 l="1"/>
  <c r="C182" i="163"/>
  <c r="D182" i="163"/>
  <c r="E182" i="163"/>
  <c r="F182" i="163"/>
  <c r="B182" i="12"/>
  <c r="C182" i="12"/>
  <c r="D182" i="12"/>
  <c r="E182" i="12"/>
  <c r="F182" i="12"/>
  <c r="T182" i="12" l="1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 l="1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 l="1"/>
  <c r="C181" i="163"/>
  <c r="D181" i="163"/>
  <c r="E181" i="163"/>
  <c r="F181" i="163"/>
  <c r="C8" i="610" l="1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E55" i="610" l="1"/>
  <c r="C55" i="610"/>
  <c r="E54" i="610"/>
  <c r="C54" i="610"/>
  <c r="E53" i="610"/>
  <c r="C53" i="610"/>
  <c r="E52" i="610"/>
  <c r="C52" i="610"/>
  <c r="E50" i="610"/>
  <c r="C50" i="610"/>
  <c r="E49" i="610"/>
  <c r="C49" i="610"/>
  <c r="E48" i="610"/>
  <c r="C48" i="610"/>
  <c r="E47" i="610"/>
  <c r="C47" i="610"/>
  <c r="E46" i="610"/>
  <c r="C46" i="610"/>
  <c r="E45" i="610"/>
  <c r="C45" i="610"/>
  <c r="E44" i="610"/>
  <c r="C44" i="610"/>
  <c r="E43" i="610"/>
  <c r="C43" i="610"/>
  <c r="G53" i="610" l="1"/>
  <c r="G48" i="610"/>
  <c r="G55" i="610"/>
  <c r="G44" i="610"/>
  <c r="G43" i="610"/>
  <c r="G47" i="610"/>
  <c r="G52" i="610"/>
  <c r="G45" i="610"/>
  <c r="G49" i="610"/>
  <c r="G54" i="610"/>
  <c r="G46" i="610"/>
  <c r="G50" i="610"/>
  <c r="F43" i="610"/>
  <c r="F45" i="610"/>
  <c r="F47" i="610"/>
  <c r="F49" i="610"/>
  <c r="F52" i="610"/>
  <c r="F54" i="610"/>
  <c r="F44" i="610"/>
  <c r="F46" i="610"/>
  <c r="F48" i="610"/>
  <c r="F50" i="610"/>
  <c r="F53" i="610"/>
  <c r="F55" i="610"/>
  <c r="B178" i="12"/>
  <c r="C17" i="610" s="1"/>
  <c r="C178" i="12"/>
  <c r="C16" i="610" s="1"/>
  <c r="D178" i="12"/>
  <c r="C19" i="610" s="1"/>
  <c r="E178" i="12"/>
  <c r="C18" i="610" s="1"/>
  <c r="F178" i="12"/>
  <c r="C20" i="610" s="1"/>
  <c r="G178" i="12"/>
  <c r="C6" i="610" s="1"/>
  <c r="H178" i="12"/>
  <c r="C33" i="610" s="1"/>
  <c r="I178" i="12"/>
  <c r="C34" i="610" s="1"/>
  <c r="J178" i="12"/>
  <c r="C35" i="610" s="1"/>
  <c r="K178" i="12"/>
  <c r="L178" i="12"/>
  <c r="M178" i="12"/>
  <c r="C37" i="610" s="1"/>
  <c r="N178" i="12"/>
  <c r="O178" i="12"/>
  <c r="C38" i="610" s="1"/>
  <c r="P178" i="12"/>
  <c r="Q178" i="12"/>
  <c r="R178" i="12"/>
  <c r="S178" i="12"/>
  <c r="C9" i="610" s="1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C7" i="610" l="1"/>
  <c r="C36" i="610"/>
  <c r="C39" i="610"/>
  <c r="B177" i="163"/>
  <c r="C177" i="163"/>
  <c r="D177" i="163"/>
  <c r="E177" i="163"/>
  <c r="F177" i="163"/>
  <c r="B177" i="12"/>
  <c r="E17" i="610" s="1"/>
  <c r="G17" i="610" s="1"/>
  <c r="C177" i="12"/>
  <c r="E16" i="610" s="1"/>
  <c r="G16" i="610" s="1"/>
  <c r="D177" i="12"/>
  <c r="E19" i="610" s="1"/>
  <c r="F19" i="610" s="1"/>
  <c r="E177" i="12"/>
  <c r="E18" i="610" s="1"/>
  <c r="F18" i="610" s="1"/>
  <c r="F177" i="12"/>
  <c r="E20" i="610" s="1"/>
  <c r="G20" i="610" s="1"/>
  <c r="G177" i="12"/>
  <c r="E6" i="610" s="1"/>
  <c r="F6" i="610" s="1"/>
  <c r="H177" i="12"/>
  <c r="E33" i="610" s="1"/>
  <c r="G33" i="610" s="1"/>
  <c r="I177" i="12"/>
  <c r="E34" i="610" s="1"/>
  <c r="G34" i="610" s="1"/>
  <c r="J177" i="12"/>
  <c r="E35" i="610" s="1"/>
  <c r="F35" i="610" s="1"/>
  <c r="K177" i="12"/>
  <c r="L177" i="12"/>
  <c r="M177" i="12"/>
  <c r="E37" i="610" s="1"/>
  <c r="F37" i="610" s="1"/>
  <c r="N177" i="12"/>
  <c r="O177" i="12"/>
  <c r="E38" i="610" s="1"/>
  <c r="G38" i="610" s="1"/>
  <c r="P177" i="12"/>
  <c r="Q177" i="12"/>
  <c r="R177" i="12"/>
  <c r="S177" i="12"/>
  <c r="E9" i="610" s="1"/>
  <c r="F9" i="610" s="1"/>
  <c r="T177" i="12"/>
  <c r="U177" i="12"/>
  <c r="X177" i="12"/>
  <c r="Y177" i="12"/>
  <c r="F26" i="610" s="1"/>
  <c r="Z177" i="12"/>
  <c r="AA177" i="12"/>
  <c r="AG177" i="12"/>
  <c r="AH177" i="12"/>
  <c r="AI177" i="12"/>
  <c r="AJ177" i="12"/>
  <c r="AK177" i="12"/>
  <c r="AL177" i="12"/>
  <c r="AM177" i="12"/>
  <c r="AN177" i="12"/>
  <c r="F27" i="610" s="1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F28" i="610" s="1"/>
  <c r="F16" i="610" l="1"/>
  <c r="G6" i="610"/>
  <c r="F20" i="610"/>
  <c r="F33" i="610"/>
  <c r="G19" i="610"/>
  <c r="G9" i="610"/>
  <c r="G37" i="610"/>
  <c r="G18" i="610"/>
  <c r="F34" i="610"/>
  <c r="G26" i="610"/>
  <c r="G27" i="610"/>
  <c r="F17" i="610"/>
  <c r="G35" i="610"/>
  <c r="E39" i="610"/>
  <c r="F39" i="610" s="1"/>
  <c r="E8" i="610"/>
  <c r="F8" i="610" s="1"/>
  <c r="F38" i="610"/>
  <c r="G28" i="610"/>
  <c r="E7" i="610"/>
  <c r="F7" i="610" s="1"/>
  <c r="E36" i="610"/>
  <c r="G36" i="610" s="1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G7" i="610" l="1"/>
  <c r="G39" i="610"/>
  <c r="G8" i="610"/>
  <c r="F36" i="610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 l="1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E19" i="12"/>
  <c r="L7" i="12"/>
  <c r="P7" i="12"/>
  <c r="Z19" i="12"/>
  <c r="Y19" i="12"/>
  <c r="AM19" i="12"/>
  <c r="AI19" i="12"/>
  <c r="AP19" i="12"/>
  <c r="AT19" i="12"/>
  <c r="AX19" i="12"/>
  <c r="AH19" i="12"/>
  <c r="AL19" i="12"/>
  <c r="BA19" i="12"/>
  <c r="AW19" i="12"/>
  <c r="B19" i="12"/>
  <c r="F19" i="12"/>
  <c r="T19" i="12"/>
  <c r="AA19" i="12"/>
  <c r="AJ19" i="12"/>
  <c r="AQ19" i="12"/>
  <c r="AU19" i="12"/>
  <c r="AY19" i="12"/>
  <c r="X19" i="12"/>
  <c r="AS19" i="12"/>
  <c r="C19" i="12"/>
  <c r="G7" i="12"/>
  <c r="S7" i="12"/>
  <c r="U19" i="12"/>
  <c r="AG19" i="12"/>
  <c r="AK19" i="12"/>
  <c r="AR19" i="12"/>
  <c r="AZ19" i="12"/>
  <c r="AV19" i="12"/>
  <c r="BB19" i="12"/>
</calcChain>
</file>

<file path=xl/sharedStrings.xml><?xml version="1.0" encoding="utf-8"?>
<sst xmlns="http://schemas.openxmlformats.org/spreadsheetml/2006/main" count="863" uniqueCount="338">
  <si>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</si>
  <si>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</si>
  <si>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</si>
  <si>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</si>
  <si>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</si>
  <si>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</si>
  <si>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</si>
  <si>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</si>
  <si>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</si>
  <si>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</si>
  <si>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</si>
  <si>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</si>
  <si>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</si>
  <si>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</si>
  <si>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</si>
  <si>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</si>
  <si>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</si>
  <si>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</si>
  <si>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</si>
  <si>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</si>
  <si>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</si>
  <si>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</si>
  <si>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</si>
  <si>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</si>
  <si>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</si>
  <si>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</si>
  <si>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</si>
  <si>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</si>
  <si>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</si>
  <si>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</si>
  <si>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</si>
  <si>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</si>
  <si>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</si>
  <si>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</si>
  <si>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</si>
  <si>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</si>
  <si>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</si>
  <si>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</si>
  <si>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</si>
  <si>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</si>
  <si>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</si>
  <si>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</si>
  <si>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</si>
  <si>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</si>
  <si>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</si>
  <si>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</si>
  <si>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</si>
  <si>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</si>
  <si>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</si>
  <si>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</si>
  <si>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</si>
  <si>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</si>
  <si>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</si>
  <si>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</si>
  <si>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</si>
  <si>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</si>
  <si>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</si>
  <si>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</si>
  <si>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</si>
  <si>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</si>
  <si>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</si>
  <si>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</si>
  <si>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</si>
  <si>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</si>
  <si>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</si>
  <si>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</si>
  <si>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</si>
  <si>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</si>
  <si>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</si>
  <si>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</si>
  <si>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</si>
  <si>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</si>
  <si>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</si>
  <si>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</si>
  <si>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</si>
  <si>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</si>
  <si>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</si>
  <si>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</si>
  <si>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</si>
  <si>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</si>
  <si>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</si>
  <si>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</si>
  <si>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</si>
  <si>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</si>
  <si>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</si>
  <si>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</si>
  <si>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</si>
  <si>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</si>
  <si>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</si>
  <si>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</si>
  <si>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</si>
  <si>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</si>
  <si>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</si>
  <si>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</si>
  <si>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</si>
  <si>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</si>
  <si>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</si>
  <si>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</si>
  <si>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</si>
  <si>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</si>
  <si>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</si>
  <si>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</si>
  <si>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</si>
  <si>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</si>
  <si>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</si>
  <si>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</si>
  <si>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</si>
  <si>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</si>
  <si>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</si>
  <si>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</si>
  <si>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</si>
  <si>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</si>
  <si>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</si>
  <si>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</si>
  <si>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</si>
  <si>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</si>
  <si>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</si>
  <si>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</si>
  <si>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</si>
  <si>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</si>
  <si>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</si>
  <si>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</si>
  <si>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</si>
  <si>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</si>
  <si>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</si>
  <si>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</si>
  <si>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</si>
  <si>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</si>
  <si>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</si>
  <si>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</si>
  <si>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</si>
  <si>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</si>
  <si>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</si>
  <si>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</si>
  <si>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</si>
  <si>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</si>
  <si>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</si>
  <si>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</si>
  <si>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</si>
  <si>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</si>
  <si>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</si>
  <si>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</si>
  <si>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</si>
  <si>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</si>
  <si>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</si>
  <si>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</si>
  <si>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</si>
  <si>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</si>
  <si>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</si>
  <si>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</si>
  <si>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</si>
  <si>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</si>
  <si>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</si>
  <si>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</si>
  <si>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</si>
  <si>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</si>
  <si>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</si>
  <si>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</si>
  <si>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</si>
  <si>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</si>
  <si>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</si>
  <si>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</si>
  <si>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</si>
  <si>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</si>
  <si>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</si>
  <si>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</si>
  <si>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</si>
  <si>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</si>
  <si>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</si>
  <si>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</si>
  <si>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</si>
  <si>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</si>
  <si>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</si>
  <si>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</si>
  <si>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</si>
  <si>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</si>
  <si>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</si>
  <si>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</si>
  <si>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</si>
  <si>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</si>
  <si>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</si>
  <si>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</si>
  <si>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</si>
  <si>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</si>
  <si>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</si>
  <si>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</si>
  <si>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</si>
  <si>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</si>
  <si>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</si>
  <si>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</si>
  <si>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</si>
  <si>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</si>
  <si>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</si>
  <si>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</si>
  <si>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</si>
  <si>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</si>
  <si>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</si>
  <si>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</si>
  <si>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</si>
  <si>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</si>
  <si>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</si>
  <si>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</si>
  <si>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</si>
  <si>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</si>
  <si>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</si>
  <si>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</si>
  <si>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</si>
  <si>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</si>
  <si>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</si>
  <si>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</si>
  <si>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</si>
  <si>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</si>
  <si>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</si>
  <si>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</si>
  <si>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</si>
  <si>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</si>
  <si>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</si>
  <si>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</si>
  <si>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</si>
  <si>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</si>
  <si>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</si>
  <si>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</si>
  <si>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</si>
  <si>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</si>
  <si>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</si>
  <si>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</si>
  <si>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</si>
  <si>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</si>
  <si>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</si>
  <si>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</si>
  <si>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</si>
  <si>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</si>
  <si>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</si>
  <si>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</si>
  <si>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</si>
  <si>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</si>
  <si>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</si>
  <si>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</si>
  <si>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</si>
  <si>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</si>
  <si>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</si>
  <si>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</si>
  <si>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</si>
  <si>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</si>
  <si>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</si>
  <si>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</si>
  <si>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Dif</t>
  </si>
  <si>
    <t>Umbrales</t>
  </si>
  <si>
    <t>Tasas de interés de colocación</t>
  </si>
  <si>
    <t>por tipo de deudor (1):</t>
  </si>
  <si>
    <t xml:space="preserve">(tasas base anual 360 días)    </t>
  </si>
  <si>
    <t xml:space="preserve">consumo ($):              </t>
  </si>
  <si>
    <t>Antes era 28</t>
  </si>
  <si>
    <t>Antes era 56</t>
  </si>
  <si>
    <t>comerciales ($):</t>
  </si>
  <si>
    <t>Antes era 10</t>
  </si>
  <si>
    <t>Antes era 20</t>
  </si>
  <si>
    <t>comercio exterior (US$):</t>
  </si>
  <si>
    <t>vivienda (UF):</t>
  </si>
  <si>
    <t>nominales por tipo de deudor (2):</t>
  </si>
  <si>
    <t xml:space="preserve">(variación anual)    </t>
  </si>
  <si>
    <t xml:space="preserve">consumo:              </t>
  </si>
  <si>
    <t>comerciales:</t>
  </si>
  <si>
    <t>comercio exterior:</t>
  </si>
  <si>
    <t>vivienda:</t>
  </si>
  <si>
    <t>total:</t>
  </si>
  <si>
    <t>Agregados monetarios (3)</t>
  </si>
  <si>
    <t xml:space="preserve">M1:              </t>
  </si>
  <si>
    <t xml:space="preserve">M2:              </t>
  </si>
  <si>
    <t xml:space="preserve">M3:              </t>
  </si>
  <si>
    <t>Tasas de interés por tipo de</t>
  </si>
  <si>
    <t>deudor (1): WORK</t>
  </si>
  <si>
    <t xml:space="preserve">tarjetas de crédito consumo ($):        </t>
  </si>
  <si>
    <t xml:space="preserve">crédito en cuotas consumo ($):        </t>
  </si>
  <si>
    <t xml:space="preserve">sobregiros consumo ($):        </t>
  </si>
  <si>
    <t>crédito en cuotas comerciales ($):</t>
  </si>
  <si>
    <t>sobregiros comerciales ($):</t>
  </si>
  <si>
    <t>exportación</t>
  </si>
  <si>
    <t>importación</t>
  </si>
  <si>
    <t>Tasas de interés por plazo</t>
  </si>
  <si>
    <t xml:space="preserve">captación 30 a 89 días nominal </t>
  </si>
  <si>
    <t xml:space="preserve">captación 90 días a 1 año nominal </t>
  </si>
  <si>
    <t xml:space="preserve">captación 1 a 3 años nominal </t>
  </si>
  <si>
    <t xml:space="preserve">captación más de 3 años nominal </t>
  </si>
  <si>
    <t xml:space="preserve">colocación 30 a 89 días nominal </t>
  </si>
  <si>
    <t xml:space="preserve">colocación 90 días a 1 año nominal </t>
  </si>
  <si>
    <t xml:space="preserve">colocación 1 a 3 años nominal </t>
  </si>
  <si>
    <t xml:space="preserve">colocación más de 3 años nominal </t>
  </si>
  <si>
    <t xml:space="preserve">spread 30 a 89 días nominal </t>
  </si>
  <si>
    <t xml:space="preserve">spread 90 días a 1 año nominal </t>
  </si>
  <si>
    <t xml:space="preserve">spread 1 a 3 años nominal </t>
  </si>
  <si>
    <t xml:space="preserve">spread más de 3 años nominal </t>
  </si>
  <si>
    <t>FEB</t>
  </si>
  <si>
    <t>ENE</t>
  </si>
  <si>
    <t>DEC</t>
  </si>
  <si>
    <t>NOV</t>
  </si>
  <si>
    <t>OCT</t>
  </si>
  <si>
    <t>Sep</t>
  </si>
  <si>
    <t>En el mes</t>
  </si>
  <si>
    <t>mes subsiguiente</t>
  </si>
  <si>
    <t>11 meses</t>
  </si>
  <si>
    <t>23 meses</t>
  </si>
  <si>
    <t xml:space="preserve">Saldo de colocaciones 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</si>
  <si>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</si>
  <si>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</si>
  <si>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</si>
  <si>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</si>
  <si>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</si>
  <si>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</si>
  <si>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</si>
  <si>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</si>
  <si>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</si>
  <si>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</si>
  <si>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</si>
  <si>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</si>
  <si>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</si>
  <si>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</si>
  <si>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</si>
  <si>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</si>
  <si>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</si>
  <si>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</si>
  <si>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</si>
  <si>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</si>
  <si>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</si>
  <si>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</si>
  <si>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A1:A156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</si>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</sst>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7" formatCode="0.000%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2"/>
      <color theme="1"/>
      <name val="Utsaah"/>
      <family val="2"/>
    </font>
    <font>
      <sz val="14"/>
      <color theme="1"/>
      <name val="Utsaah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Utsaah"/>
      <family val="2"/>
    </font>
    <font>
      <sz val="11"/>
      <name val="Utsaah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87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0" fontId="23" fillId="0" borderId="0" xfId="0" applyFont="1" applyFill="1"/>
    <xf numFmtId="0" fontId="23" fillId="8" borderId="0" xfId="0" applyNumberFormat="1" applyFont="1" applyFill="1"/>
    <xf numFmtId="0" fontId="23" fillId="8" borderId="0" xfId="0" applyFont="1" applyFill="1"/>
    <xf numFmtId="17" fontId="23" fillId="0" borderId="0" xfId="0" applyNumberFormat="1" applyFont="1" applyFill="1"/>
    <xf numFmtId="0" fontId="23" fillId="0" borderId="0" xfId="0" applyFont="1" applyFill="1" applyAlignment="1">
      <alignment horizontal="center"/>
    </xf>
    <xf numFmtId="0" fontId="28" fillId="0" borderId="0" xfId="0" applyFont="1" applyFill="1" applyAlignment="1"/>
    <xf numFmtId="0" fontId="29" fillId="0" borderId="0" xfId="0" applyFont="1" applyFill="1" applyAlignment="1"/>
    <xf numFmtId="0" fontId="29" fillId="0" borderId="0" xfId="0" applyFont="1" applyFill="1" applyAlignment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8" borderId="0" xfId="0" applyFont="1" applyFill="1"/>
    <xf numFmtId="0" fontId="31" fillId="0" borderId="0" xfId="0" applyFont="1" applyFill="1"/>
    <xf numFmtId="0" fontId="28" fillId="0" borderId="0" xfId="0" applyFont="1" applyFill="1" applyAlignment="1">
      <alignment horizontal="left"/>
    </xf>
    <xf numFmtId="0" fontId="0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horizontal="left"/>
    </xf>
    <xf numFmtId="0" fontId="23" fillId="0" borderId="0" xfId="0" applyFont="1" applyFill="1" applyBorder="1"/>
    <xf numFmtId="173" fontId="32" fillId="0" borderId="0" xfId="143" applyNumberFormat="1" applyFont="1" applyFill="1" applyAlignment="1">
      <alignment horizontal="right"/>
    </xf>
    <xf numFmtId="173" fontId="8" fillId="0" borderId="0" xfId="0" applyNumberFormat="1" applyFont="1" applyFill="1" applyAlignment="1">
      <alignment horizontal="center"/>
    </xf>
    <xf numFmtId="177" fontId="33" fillId="0" borderId="0" xfId="143" applyNumberFormat="1" applyFont="1" applyFill="1"/>
    <xf numFmtId="2" fontId="33" fillId="0" borderId="0" xfId="0" applyNumberFormat="1" applyFont="1" applyFill="1"/>
    <xf numFmtId="0" fontId="0" fillId="9" borderId="0" xfId="0" applyFont="1" applyFill="1"/>
    <xf numFmtId="173" fontId="0" fillId="0" borderId="0" xfId="0" applyNumberFormat="1" applyFill="1"/>
    <xf numFmtId="173" fontId="23" fillId="0" borderId="0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173" fontId="23" fillId="0" borderId="0" xfId="0" applyNumberFormat="1" applyFont="1" applyFill="1" applyBorder="1"/>
    <xf numFmtId="173" fontId="23" fillId="0" borderId="0" xfId="0" applyNumberFormat="1" applyFont="1" applyFill="1"/>
    <xf numFmtId="173" fontId="29" fillId="0" borderId="0" xfId="0" applyNumberFormat="1" applyFont="1" applyFill="1" applyAlignment="1"/>
    <xf numFmtId="173" fontId="30" fillId="0" borderId="0" xfId="0" applyNumberFormat="1" applyFont="1" applyFill="1" applyBorder="1"/>
    <xf numFmtId="173" fontId="29" fillId="0" borderId="0" xfId="0" applyNumberFormat="1" applyFont="1" applyFill="1" applyAlignment="1">
      <alignment horizontal="left"/>
    </xf>
    <xf numFmtId="173" fontId="32" fillId="0" borderId="0" xfId="0" applyNumberFormat="1" applyFont="1" applyFill="1" applyAlignment="1">
      <alignment horizontal="left"/>
    </xf>
    <xf numFmtId="2" fontId="23" fillId="0" borderId="0" xfId="0" applyNumberFormat="1" applyFont="1" applyFill="1"/>
    <xf numFmtId="164" fontId="33" fillId="0" borderId="0" xfId="142" applyFont="1" applyFill="1"/>
    <xf numFmtId="164" fontId="33" fillId="0" borderId="0" xfId="142" applyNumberFormat="1" applyFont="1" applyFill="1"/>
    <xf numFmtId="177" fontId="23" fillId="0" borderId="0" xfId="0" applyNumberFormat="1" applyFont="1" applyFill="1" applyAlignment="1">
      <alignment horizontal="left" indent="3"/>
    </xf>
    <xf numFmtId="164" fontId="32" fillId="0" borderId="0" xfId="142" applyFont="1" applyFill="1" applyAlignment="1">
      <alignment horizontal="right"/>
    </xf>
    <xf numFmtId="164" fontId="8" fillId="0" borderId="0" xfId="142" applyFont="1" applyFill="1" applyAlignment="1">
      <alignment horizontal="center"/>
    </xf>
    <xf numFmtId="164" fontId="0" fillId="0" borderId="0" xfId="142" applyFont="1" applyFill="1"/>
    <xf numFmtId="0" fontId="23" fillId="0" borderId="0" xfId="0" applyNumberFormat="1" applyFont="1" applyFill="1" applyBorder="1"/>
    <xf numFmtId="17" fontId="23" fillId="0" borderId="0" xfId="0" applyNumberFormat="1" applyFont="1" applyFill="1" applyBorder="1"/>
    <xf numFmtId="0" fontId="34" fillId="0" borderId="0" xfId="0" applyFont="1" applyFill="1" applyBorder="1" applyAlignment="1">
      <alignment horizontal="center" vertical="top" wrapText="1"/>
    </xf>
    <xf numFmtId="164" fontId="0" fillId="0" borderId="0" xfId="142" applyFont="1" applyFill="1" applyBorder="1"/>
    <xf numFmtId="0" fontId="34" fillId="0" borderId="15" xfId="0" applyFont="1" applyFill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top" wrapText="1"/>
    </xf>
    <xf numFmtId="0" fontId="23" fillId="0" borderId="0" xfId="0" applyNumberFormat="1" applyFont="1" applyFill="1"/>
    <xf numFmtId="17" fontId="32" fillId="0" borderId="0" xfId="143" applyNumberFormat="1" applyFont="1" applyFill="1" applyAlignment="1">
      <alignment horizontal="right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1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4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6" xr:uid="{00000000-0005-0000-0000-000015000000}"/>
    <cellStyle name="Normal 2 3" xfId="19" xr:uid="{00000000-0005-0000-0000-000016000000}"/>
    <cellStyle name="Normal 2 4" xfId="20" xr:uid="{00000000-0005-0000-0000-000017000000}"/>
    <cellStyle name="Normal 2 5" xfId="145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7" xr:uid="{00000000-0005-0000-0000-00001C000000}"/>
    <cellStyle name="Normal 4" xfId="24" xr:uid="{00000000-0005-0000-0000-00001D000000}"/>
    <cellStyle name="Normal 4 2" xfId="148" xr:uid="{00000000-0005-0000-0000-00001E000000}"/>
    <cellStyle name="Normal 5" xfId="25" xr:uid="{00000000-0005-0000-0000-00001F000000}"/>
    <cellStyle name="Normal 5 2" xfId="149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3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50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2.4467943760396436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2.9299540106000501</c:v>
                </c:pt>
                <c:pt idx="167">
                  <c:v>4.8036551488853876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1.3232902325983662</c:v>
                </c:pt>
                <c:pt idx="167">
                  <c:v>0.91217938310190105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3.4131846370008337E-2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1.0562400032483845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-1.8108707324292284</c:v>
                </c:pt>
                <c:pt idx="167">
                  <c:v>-2.0396771329046293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6.7429288452894696</c:v>
                </c:pt>
                <c:pt idx="167">
                  <c:v>6.9220424987851601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15.086267078946763</c:v>
                </c:pt>
                <c:pt idx="167">
                  <c:v>17.723622701382531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4.7512586878418857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0.12657472823932903</c:v>
                </c:pt>
                <c:pt idx="167">
                  <c:v>0.1187806448370515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4.9388729528318862</c:v>
                </c:pt>
                <c:pt idx="167">
                  <c:v>8.1464811550555112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4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7.9421745075621004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6.2012104409346733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-14.421974883828881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2.4637706436529783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-28.187870292823987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0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6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53.915955657430715</c:v>
                </c:pt>
                <c:pt idx="179">
                  <c:v>63.632600033881715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4.9388729528318862</c:v>
                </c:pt>
                <c:pt idx="179">
                  <c:v>8.1464811550555112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6.7429288452894696</c:v>
                </c:pt>
                <c:pt idx="179">
                  <c:v>6.9220424987851601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8255293088363951"/>
          <c:h val="0.69278142315543889"/>
        </c:manualLayout>
      </c:layout>
      <c:lineChart>
        <c:grouping val="standard"/>
        <c:varyColors val="0"/>
        <c:ser>
          <c:idx val="0"/>
          <c:order val="0"/>
          <c:tx>
            <c:strRef>
              <c:f>Tablas!$C$59</c:f>
              <c:strCache>
                <c:ptCount val="1"/>
                <c:pt idx="0">
                  <c:v>FEB</c:v>
                </c:pt>
              </c:strCache>
            </c:strRef>
          </c:tx>
          <c:marker>
            <c:symbol val="none"/>
          </c:marker>
          <c:cat>
            <c:strRef>
              <c:f>Tablas!$B$60:$B$62</c:f>
              <c:strCache>
                <c:ptCount val="3"/>
                <c:pt idx="0">
                  <c:v>30 a 89 días nominal</c:v>
                </c:pt>
                <c:pt idx="1">
                  <c:v>90 días a 1 año nominal</c:v>
                </c:pt>
                <c:pt idx="2">
                  <c:v>1 a 3 años nominal</c:v>
                </c:pt>
              </c:strCache>
            </c:strRef>
          </c:cat>
          <c:val>
            <c:numRef>
              <c:f>Tablas!$C$60:$C$62</c:f>
              <c:numCache>
                <c:formatCode>General</c:formatCode>
                <c:ptCount val="3"/>
                <c:pt idx="0">
                  <c:v>2.88</c:v>
                </c:pt>
                <c:pt idx="1">
                  <c:v>3.24</c:v>
                </c:pt>
                <c:pt idx="2">
                  <c:v>3.5999999999999996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8DA-A65E-031AAD46C731}"/>
            </c:ext>
          </c:extLst>
        </c:ser>
        <c:ser>
          <c:idx val="2"/>
          <c:order val="1"/>
          <c:tx>
            <c:strRef>
              <c:f>Tablas!$E$59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strRef>
              <c:f>Tablas!$B$60:$B$62</c:f>
              <c:strCache>
                <c:ptCount val="3"/>
                <c:pt idx="0">
                  <c:v>30 a 89 días nominal</c:v>
                </c:pt>
                <c:pt idx="1">
                  <c:v>90 días a 1 año nominal</c:v>
                </c:pt>
                <c:pt idx="2">
                  <c:v>1 a 3 años nominal</c:v>
                </c:pt>
              </c:strCache>
            </c:strRef>
          </c:cat>
          <c:val>
            <c:numRef>
              <c:f>Tablas!$E$60:$E$62</c:f>
              <c:numCache>
                <c:formatCode>_-* #,##0.00_-;\-* #,##0.00_-;_-* "-"??_-;_-@_-</c:formatCode>
                <c:ptCount val="3"/>
                <c:pt idx="0">
                  <c:v>2.88</c:v>
                </c:pt>
                <c:pt idx="1">
                  <c:v>3.4799999999999995</c:v>
                </c:pt>
                <c:pt idx="2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8DA-A65E-031AAD46C731}"/>
            </c:ext>
          </c:extLst>
        </c:ser>
        <c:ser>
          <c:idx val="3"/>
          <c:order val="2"/>
          <c:tx>
            <c:strRef>
              <c:f>Tablas!$D$59</c:f>
              <c:strCache>
                <c:ptCount val="1"/>
                <c:pt idx="0">
                  <c:v>ENE</c:v>
                </c:pt>
              </c:strCache>
            </c:strRef>
          </c:tx>
          <c:marker>
            <c:symbol val="none"/>
          </c:marker>
          <c:cat>
            <c:strRef>
              <c:f>Tablas!$B$60:$B$62</c:f>
              <c:strCache>
                <c:ptCount val="3"/>
                <c:pt idx="0">
                  <c:v>30 a 89 días nominal</c:v>
                </c:pt>
                <c:pt idx="1">
                  <c:v>90 días a 1 año nominal</c:v>
                </c:pt>
                <c:pt idx="2">
                  <c:v>1 a 3 años nominal</c:v>
                </c:pt>
              </c:strCache>
            </c:strRef>
          </c:cat>
          <c:val>
            <c:numRef>
              <c:f>Tablas!$D$60:$D$62</c:f>
              <c:numCache>
                <c:formatCode>General</c:formatCode>
                <c:ptCount val="3"/>
                <c:pt idx="0">
                  <c:v>2.7600000000000002</c:v>
                </c:pt>
                <c:pt idx="1">
                  <c:v>3.24</c:v>
                </c:pt>
                <c:pt idx="2">
                  <c:v>3.7199999999999998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A-48DA-A65E-031AAD46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65928"/>
        <c:axId val="738360440"/>
      </c:lineChart>
      <c:catAx>
        <c:axId val="738365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8360440"/>
        <c:crosses val="autoZero"/>
        <c:auto val="1"/>
        <c:lblAlgn val="ctr"/>
        <c:lblOffset val="100"/>
        <c:noMultiLvlLbl val="0"/>
      </c:catAx>
      <c:valAx>
        <c:axId val="738360440"/>
        <c:scaling>
          <c:orientation val="minMax"/>
          <c:max val="4.5"/>
          <c:min val="2.5"/>
        </c:scaling>
        <c:delete val="0"/>
        <c:axPos val="l"/>
        <c:numFmt formatCode="#,##0.00" sourceLinked="0"/>
        <c:majorTickMark val="out"/>
        <c:minorTickMark val="none"/>
        <c:tickLblPos val="nextTo"/>
        <c:crossAx val="738365928"/>
        <c:crosses val="autoZero"/>
        <c:crossBetween val="between"/>
        <c:maj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9230533683289586"/>
          <c:y val="0.87423228346456694"/>
          <c:w val="0.64380577427821517"/>
          <c:h val="0.1219058034412364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8255293088363951"/>
          <c:h val="0.69278142315543889"/>
        </c:manualLayout>
      </c:layout>
      <c:lineChart>
        <c:grouping val="standard"/>
        <c:varyColors val="0"/>
        <c:ser>
          <c:idx val="0"/>
          <c:order val="0"/>
          <c:tx>
            <c:strRef>
              <c:f>Tablas!$C$65</c:f>
              <c:strCache>
                <c:ptCount val="1"/>
                <c:pt idx="0">
                  <c:v>Sep</c:v>
                </c:pt>
              </c:strCache>
            </c:strRef>
          </c:tx>
          <c:marker>
            <c:symbol val="none"/>
          </c:marker>
          <c:cat>
            <c:strRef>
              <c:f>Tablas!$B$66:$B$69</c:f>
              <c:strCache>
                <c:ptCount val="4"/>
                <c:pt idx="0">
                  <c:v>En el mes</c:v>
                </c:pt>
                <c:pt idx="1">
                  <c:v>mes subsiguiente</c:v>
                </c:pt>
                <c:pt idx="2">
                  <c:v>11 meses</c:v>
                </c:pt>
                <c:pt idx="3">
                  <c:v>23 meses</c:v>
                </c:pt>
              </c:strCache>
            </c:strRef>
          </c:cat>
          <c:val>
            <c:numRef>
              <c:f>Tablas!$C$66:$C$69</c:f>
              <c:numCache>
                <c:formatCode>General</c:formatCode>
                <c:ptCount val="4"/>
                <c:pt idx="0">
                  <c:v>2.5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4-42D9-85AB-DDEEF3E0B5C8}"/>
            </c:ext>
          </c:extLst>
        </c:ser>
        <c:ser>
          <c:idx val="1"/>
          <c:order val="1"/>
          <c:tx>
            <c:strRef>
              <c:f>Tablas!$D$65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Tablas!$B$66:$B$69</c:f>
              <c:strCache>
                <c:ptCount val="4"/>
                <c:pt idx="0">
                  <c:v>En el mes</c:v>
                </c:pt>
                <c:pt idx="1">
                  <c:v>mes subsiguiente</c:v>
                </c:pt>
                <c:pt idx="2">
                  <c:v>11 meses</c:v>
                </c:pt>
                <c:pt idx="3">
                  <c:v>23 meses</c:v>
                </c:pt>
              </c:strCache>
            </c:strRef>
          </c:cat>
          <c:val>
            <c:numRef>
              <c:f>Tablas!$D$66:$D$69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4-42D9-85AB-DDEEF3E0B5C8}"/>
            </c:ext>
          </c:extLst>
        </c:ser>
        <c:ser>
          <c:idx val="2"/>
          <c:order val="2"/>
          <c:tx>
            <c:strRef>
              <c:f>Tablas!$E$59</c:f>
              <c:strCache>
                <c:ptCount val="1"/>
                <c:pt idx="0">
                  <c:v>DEC</c:v>
                </c:pt>
              </c:strCache>
            </c:strRef>
          </c:tx>
          <c:marker>
            <c:symbol val="none"/>
          </c:marker>
          <c:cat>
            <c:strRef>
              <c:f>Tablas!$B$66:$B$69</c:f>
              <c:strCache>
                <c:ptCount val="4"/>
                <c:pt idx="0">
                  <c:v>En el mes</c:v>
                </c:pt>
                <c:pt idx="1">
                  <c:v>mes subsiguiente</c:v>
                </c:pt>
                <c:pt idx="2">
                  <c:v>11 meses</c:v>
                </c:pt>
                <c:pt idx="3">
                  <c:v>23 meses</c:v>
                </c:pt>
              </c:strCache>
            </c:strRef>
          </c:cat>
          <c:val>
            <c:numRef>
              <c:f>Tablas!#REF!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4-42D9-85AB-DDEEF3E0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59264"/>
        <c:axId val="738362008"/>
      </c:lineChart>
      <c:catAx>
        <c:axId val="73835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8362008"/>
        <c:crosses val="autoZero"/>
        <c:auto val="1"/>
        <c:lblAlgn val="ctr"/>
        <c:lblOffset val="100"/>
        <c:noMultiLvlLbl val="0"/>
      </c:catAx>
      <c:valAx>
        <c:axId val="738362008"/>
        <c:scaling>
          <c:orientation val="minMax"/>
          <c:max val="4.5"/>
          <c:min val="2"/>
        </c:scaling>
        <c:delete val="0"/>
        <c:axPos val="l"/>
        <c:numFmt formatCode="#,##0.00" sourceLinked="0"/>
        <c:majorTickMark val="out"/>
        <c:minorTickMark val="none"/>
        <c:tickLblPos val="nextTo"/>
        <c:crossAx val="738359264"/>
        <c:crosses val="autoZero"/>
        <c:crossBetween val="between"/>
        <c:majorUnit val="0.5"/>
      </c:valAx>
      <c:spPr>
        <a:noFill/>
        <a:ln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9230533683289586"/>
          <c:y val="0.87423228346456694"/>
          <c:w val="0.64380577427821517"/>
          <c:h val="0.1219058034412364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-14.421974883828881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-0.90119203104956114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6.2012104409346733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0.75114058859719535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6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-28.187870292823987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3.2674973080741836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1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7.9421745075621004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0.81656102250475726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4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18.247100723700786</c:v>
                </c:pt>
                <c:pt idx="167">
                  <c:v>17.808714985617744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11.939269082708114</c:v>
                </c:pt>
                <c:pt idx="167">
                  <c:v>14.480577708840226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13.753386092649546</c:v>
                </c:pt>
                <c:pt idx="167">
                  <c:v>19.139960106509111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53.915955657430715</c:v>
                </c:pt>
                <c:pt idx="167">
                  <c:v>63.632600033881715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197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739140</xdr:colOff>
      <xdr:row>70</xdr:row>
      <xdr:rowOff>129540</xdr:rowOff>
    </xdr:from>
    <xdr:to>
      <xdr:col>6</xdr:col>
      <xdr:colOff>83820</xdr:colOff>
      <xdr:row>84</xdr:row>
      <xdr:rowOff>60960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624840</xdr:colOff>
      <xdr:row>67</xdr:row>
      <xdr:rowOff>160020</xdr:rowOff>
    </xdr:from>
    <xdr:to>
      <xdr:col>11</xdr:col>
      <xdr:colOff>441960</xdr:colOff>
      <xdr:row>81</xdr:row>
      <xdr:rowOff>91440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85" activePane="bottomRight" state="frozen"/>
      <selection pane="topRight" activeCell="B1" sqref="B1"/>
      <selection pane="bottomLeft" activeCell="A8" sqref="A8"/>
      <selection pane="bottomRight" activeCell="D200" sqref="D200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62" t="s">
        <v>128</v>
      </c>
      <c r="C1" s="162"/>
      <c r="D1" s="162"/>
      <c r="E1" s="162"/>
      <c r="F1" s="162"/>
      <c r="G1" s="167" t="s">
        <v>129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8"/>
      <c r="AF1" s="169"/>
      <c r="AG1" s="165" t="s">
        <v>130</v>
      </c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48"/>
      <c r="BL1" s="162" t="s">
        <v>145</v>
      </c>
      <c r="BM1" s="162"/>
      <c r="BN1" s="162"/>
      <c r="BO1" s="162"/>
      <c r="BP1" s="162"/>
      <c r="BQ1" s="162"/>
      <c r="BR1" s="162"/>
      <c r="BS1" s="162"/>
    </row>
    <row r="2" spans="1:71" s="4" customFormat="1" ht="18.75" customHeight="1" x14ac:dyDescent="0.25">
      <c r="A2" s="3"/>
      <c r="B2" s="166" t="s">
        <v>44</v>
      </c>
      <c r="C2" s="166"/>
      <c r="D2" s="166"/>
      <c r="E2" s="166"/>
      <c r="F2" s="166"/>
      <c r="G2" s="170" t="s">
        <v>90</v>
      </c>
      <c r="H2" s="171"/>
      <c r="I2" s="166"/>
      <c r="J2" s="166"/>
      <c r="K2" s="166"/>
      <c r="L2" s="166"/>
      <c r="M2" s="166"/>
      <c r="N2" s="166"/>
      <c r="O2" s="166"/>
      <c r="P2" s="166"/>
      <c r="Q2" s="151" t="s">
        <v>136</v>
      </c>
      <c r="R2" s="166"/>
      <c r="S2" s="166"/>
      <c r="T2" s="166"/>
      <c r="U2" s="166"/>
      <c r="V2" s="166"/>
      <c r="W2" s="166"/>
      <c r="X2" s="152"/>
      <c r="Y2" s="170" t="s">
        <v>135</v>
      </c>
      <c r="Z2" s="171"/>
      <c r="AA2" s="166"/>
      <c r="AB2" s="166"/>
      <c r="AC2" s="166"/>
      <c r="AD2" s="166"/>
      <c r="AE2" s="151" t="s">
        <v>93</v>
      </c>
      <c r="AF2" s="152"/>
      <c r="AG2" s="166" t="s">
        <v>37</v>
      </c>
      <c r="AH2" s="166"/>
      <c r="AI2" s="166"/>
      <c r="AJ2" s="166"/>
      <c r="AK2" s="166"/>
      <c r="AL2" s="166"/>
      <c r="AM2" s="152"/>
      <c r="AN2" s="151" t="s">
        <v>38</v>
      </c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52"/>
      <c r="AZ2" s="151" t="s">
        <v>41</v>
      </c>
      <c r="BA2" s="166"/>
      <c r="BB2" s="166"/>
      <c r="BC2" s="166"/>
      <c r="BD2" s="166"/>
      <c r="BE2" s="166"/>
      <c r="BF2" s="166"/>
      <c r="BG2" s="166"/>
      <c r="BH2" s="166"/>
      <c r="BI2" s="166"/>
      <c r="BJ2" s="152"/>
      <c r="BK2" s="49"/>
      <c r="BL2" s="163" t="s">
        <v>68</v>
      </c>
      <c r="BM2" s="164"/>
      <c r="BN2" s="163" t="s">
        <v>69</v>
      </c>
      <c r="BO2" s="164"/>
      <c r="BP2" s="163" t="s">
        <v>70</v>
      </c>
      <c r="BQ2" s="164"/>
      <c r="BR2" s="163" t="s">
        <v>71</v>
      </c>
      <c r="BS2" s="164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47" t="s">
        <v>131</v>
      </c>
      <c r="H3" s="148"/>
      <c r="I3" s="147" t="s">
        <v>137</v>
      </c>
      <c r="J3" s="153"/>
      <c r="K3" s="153" t="s">
        <v>138</v>
      </c>
      <c r="L3" s="153"/>
      <c r="M3" s="153" t="s">
        <v>139</v>
      </c>
      <c r="N3" s="153"/>
      <c r="O3" s="153" t="s">
        <v>140</v>
      </c>
      <c r="P3" s="148"/>
      <c r="Q3" s="149" t="s">
        <v>97</v>
      </c>
      <c r="R3" s="150"/>
      <c r="S3" s="147" t="s">
        <v>141</v>
      </c>
      <c r="T3" s="153"/>
      <c r="U3" s="153" t="s">
        <v>139</v>
      </c>
      <c r="V3" s="153"/>
      <c r="W3" s="153" t="s">
        <v>140</v>
      </c>
      <c r="X3" s="148"/>
      <c r="Y3" s="147" t="s">
        <v>134</v>
      </c>
      <c r="Z3" s="148"/>
      <c r="AA3" s="147" t="s">
        <v>142</v>
      </c>
      <c r="AB3" s="153"/>
      <c r="AC3" s="153" t="s">
        <v>143</v>
      </c>
      <c r="AD3" s="148"/>
      <c r="AE3" s="42"/>
      <c r="AF3" s="41"/>
      <c r="AG3" s="40" t="s">
        <v>46</v>
      </c>
      <c r="AH3" s="40" t="s">
        <v>47</v>
      </c>
      <c r="AI3" s="40" t="s">
        <v>48</v>
      </c>
      <c r="AJ3" s="40" t="s">
        <v>333</v>
      </c>
      <c r="AK3" s="40" t="s">
        <v>334</v>
      </c>
      <c r="AL3" s="40" t="s">
        <v>49</v>
      </c>
      <c r="AM3" s="41" t="s">
        <v>37</v>
      </c>
      <c r="AN3" s="42" t="s">
        <v>306</v>
      </c>
      <c r="AO3" s="40" t="s">
        <v>305</v>
      </c>
      <c r="AP3" s="40" t="s">
        <v>307</v>
      </c>
      <c r="AQ3" s="40" t="s">
        <v>308</v>
      </c>
      <c r="AR3" s="40" t="s">
        <v>335</v>
      </c>
      <c r="AS3" s="40" t="s">
        <v>309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146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54" t="s">
        <v>113</v>
      </c>
      <c r="C5" s="155"/>
      <c r="D5" s="155"/>
      <c r="E5" s="155"/>
      <c r="F5" s="156"/>
      <c r="G5" s="154" t="s">
        <v>144</v>
      </c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6"/>
      <c r="AG5" s="154" t="s">
        <v>113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6"/>
      <c r="BL5" s="154" t="s">
        <v>114</v>
      </c>
      <c r="BM5" s="155"/>
      <c r="BN5" s="155"/>
      <c r="BO5" s="155"/>
      <c r="BP5" s="155"/>
      <c r="BQ5" s="155"/>
      <c r="BR5" s="155"/>
      <c r="BS5" s="156"/>
    </row>
    <row r="6" spans="1:71" s="4" customFormat="1" ht="15" customHeight="1" x14ac:dyDescent="0.25">
      <c r="A6" s="3"/>
      <c r="B6" s="157" t="s">
        <v>101</v>
      </c>
      <c r="C6" s="158"/>
      <c r="D6" s="158"/>
      <c r="E6" s="158"/>
      <c r="F6" s="159"/>
      <c r="G6" s="160" t="s">
        <v>99</v>
      </c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1"/>
      <c r="AG6" s="157" t="s">
        <v>99</v>
      </c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9"/>
      <c r="BL6" s="157" t="s">
        <v>99</v>
      </c>
      <c r="BM6" s="158"/>
      <c r="BN6" s="158"/>
      <c r="BO6" s="158"/>
      <c r="BP6" s="158"/>
      <c r="BQ6" s="158"/>
      <c r="BR6" s="158"/>
      <c r="BS6" s="159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303</v>
      </c>
      <c r="AK7" s="7" t="s">
        <v>304</v>
      </c>
      <c r="AL7" s="7" t="s">
        <v>16</v>
      </c>
      <c r="AM7" s="8" t="s">
        <v>17</v>
      </c>
      <c r="AN7" s="14" t="s">
        <v>18</v>
      </c>
      <c r="AO7" s="7" t="s">
        <v>310</v>
      </c>
      <c r="AP7" s="7" t="s">
        <v>311</v>
      </c>
      <c r="AQ7" s="7" t="s">
        <v>312</v>
      </c>
      <c r="AR7" s="7" t="s">
        <v>313</v>
      </c>
      <c r="AS7" s="7" t="s">
        <v>314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144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144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90">
        <v>0.48</v>
      </c>
      <c r="BM183" s="12">
        <v>9471.39</v>
      </c>
      <c r="BN183" s="90">
        <v>0.41</v>
      </c>
      <c r="BO183" s="12">
        <v>3516.59</v>
      </c>
      <c r="BP183" s="90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90">
        <v>0.47</v>
      </c>
      <c r="BM184" s="12">
        <v>9257.64</v>
      </c>
      <c r="BN184" s="90">
        <v>0.38</v>
      </c>
      <c r="BO184" s="12">
        <v>3580.48</v>
      </c>
      <c r="BP184" s="90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90">
        <v>0.46</v>
      </c>
      <c r="BM185" s="12">
        <v>8784.27</v>
      </c>
      <c r="BN185" s="90">
        <v>0.37</v>
      </c>
      <c r="BO185" s="12">
        <v>3680.77</v>
      </c>
      <c r="BP185" s="90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90">
        <v>0.45</v>
      </c>
      <c r="BM186" s="12">
        <v>9096.74</v>
      </c>
      <c r="BN186" s="90">
        <v>0.32</v>
      </c>
      <c r="BO186" s="12">
        <v>3262.9</v>
      </c>
      <c r="BP186" s="90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39090.739047381903</v>
      </c>
      <c r="AJ187" s="52">
        <v>24615.825709145171</v>
      </c>
      <c r="AK187" s="52">
        <v>14474.913338236731</v>
      </c>
      <c r="AL187" s="52">
        <v>14669.487104423995</v>
      </c>
      <c r="AM187" s="53">
        <v>65369.620330449492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75.491</v>
      </c>
      <c r="AY187" s="53">
        <v>159281.09418848949</v>
      </c>
      <c r="AZ187" s="52">
        <v>24534.657634472398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2524.4110061831962</v>
      </c>
      <c r="BH187" s="52">
        <v>13691.266272674724</v>
      </c>
      <c r="BI187" s="52">
        <v>729.67420986213517</v>
      </c>
      <c r="BJ187" s="53">
        <v>273107.73519121384</v>
      </c>
      <c r="BK187" s="58"/>
      <c r="BL187" s="90">
        <v>0.43</v>
      </c>
      <c r="BM187" s="12">
        <v>9730.65</v>
      </c>
      <c r="BN187" s="90">
        <v>0.4</v>
      </c>
      <c r="BO187" s="12">
        <v>3234.47</v>
      </c>
      <c r="BP187" s="90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107012.418054384</v>
      </c>
      <c r="C188" s="52">
        <v>17377.015561307999</v>
      </c>
      <c r="D188" s="52">
        <v>58177.164866289997</v>
      </c>
      <c r="E188" s="53">
        <v>7707.8107981940002</v>
      </c>
      <c r="F188" s="52">
        <v>190274.40928017598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24060.781177067802</v>
      </c>
      <c r="AK188" s="52">
        <v>15304.7140722083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49226.003882854202</v>
      </c>
      <c r="AP188" s="52">
        <v>40659.704761877401</v>
      </c>
      <c r="AQ188" s="52">
        <v>8566.2991209767206</v>
      </c>
      <c r="AR188" s="52">
        <v>26208.34674569</v>
      </c>
      <c r="AS188" s="52">
        <v>928.98704846170006</v>
      </c>
      <c r="AT188" s="52">
        <v>8499.2923594539989</v>
      </c>
      <c r="AU188" s="52">
        <v>24279.474938878237</v>
      </c>
      <c r="AV188" s="52">
        <v>1169.6702837936718</v>
      </c>
      <c r="AW188" s="52">
        <v>15835.054889980051</v>
      </c>
      <c r="AX188" s="52">
        <v>80.418166666666664</v>
      </c>
      <c r="AY188" s="53">
        <v>163155.82366103723</v>
      </c>
      <c r="AZ188" s="52">
        <v>23564.545798724102</v>
      </c>
      <c r="BA188" s="52">
        <v>9503.710770913749</v>
      </c>
      <c r="BB188" s="52">
        <v>34371.363851480302</v>
      </c>
      <c r="BC188" s="52">
        <v>243.06337654805</v>
      </c>
      <c r="BD188" s="52">
        <v>462.55244632393919</v>
      </c>
      <c r="BE188" s="52">
        <v>30594.618468629858</v>
      </c>
      <c r="BF188" s="52">
        <v>24159.296050163655</v>
      </c>
      <c r="BG188" s="52">
        <v>2550.3040128873463</v>
      </c>
      <c r="BH188" s="52">
        <v>14291.358442250978</v>
      </c>
      <c r="BI188" s="52">
        <v>751.98408250659179</v>
      </c>
      <c r="BJ188" s="53">
        <v>273561.93591195066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2"/>
      <c r="AL189" s="52"/>
      <c r="AM189" s="53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3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3"/>
      <c r="BK189" s="58"/>
      <c r="BL189" s="15"/>
      <c r="BM189" s="12"/>
      <c r="BN189" s="15"/>
      <c r="BO189" s="12"/>
      <c r="BP189" s="15"/>
      <c r="BQ189" s="12"/>
      <c r="BR189" s="15"/>
      <c r="BS189" s="9"/>
      <c r="BU189" s="6"/>
      <c r="BV189" s="84"/>
      <c r="BW189" s="84"/>
      <c r="BX189" s="84"/>
    </row>
    <row r="190" spans="1:76" x14ac:dyDescent="0.25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2"/>
      <c r="AL190" s="52"/>
      <c r="AM190" s="53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3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3"/>
      <c r="BK190" s="58"/>
      <c r="BL190" s="15"/>
      <c r="BM190" s="12"/>
      <c r="BN190" s="15"/>
      <c r="BO190" s="12"/>
      <c r="BP190" s="15"/>
      <c r="BQ190" s="12"/>
      <c r="BR190" s="15"/>
      <c r="BS190" s="9"/>
      <c r="BT190" s="6"/>
      <c r="BU190" s="6"/>
      <c r="BV190" s="84"/>
      <c r="BW190" s="84"/>
      <c r="BX190" s="84"/>
    </row>
    <row r="191" spans="1:76" x14ac:dyDescent="0.25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2"/>
      <c r="AL191" s="52"/>
      <c r="AM191" s="53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3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3"/>
      <c r="BK191" s="58"/>
      <c r="BL191" s="15"/>
      <c r="BM191" s="12"/>
      <c r="BN191" s="15"/>
      <c r="BO191" s="12"/>
      <c r="BP191" s="15"/>
      <c r="BQ191" s="12"/>
      <c r="BR191" s="15"/>
      <c r="BS191" s="9"/>
      <c r="BT191" s="6"/>
      <c r="BU191" s="6"/>
      <c r="BV191" s="84"/>
      <c r="BW191" s="84"/>
      <c r="BX191" s="84"/>
    </row>
    <row r="192" spans="1:76" x14ac:dyDescent="0.25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2"/>
      <c r="AL192" s="52"/>
      <c r="AM192" s="53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3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3"/>
      <c r="BK192" s="58"/>
      <c r="BL192" s="15"/>
      <c r="BM192" s="12"/>
      <c r="BN192" s="15"/>
      <c r="BO192" s="12"/>
      <c r="BP192" s="15"/>
      <c r="BQ192" s="12"/>
      <c r="BR192" s="15"/>
      <c r="BS192" s="9"/>
      <c r="BU192" s="6"/>
      <c r="BV192" s="84"/>
      <c r="BW192" s="84"/>
      <c r="BX192" s="84"/>
    </row>
    <row r="193" spans="1:76" x14ac:dyDescent="0.25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2"/>
      <c r="AL193" s="52"/>
      <c r="AM193" s="53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3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3"/>
      <c r="BK193" s="58"/>
      <c r="BL193" s="15"/>
      <c r="BM193" s="12"/>
      <c r="BN193" s="15"/>
      <c r="BO193" s="12"/>
      <c r="BP193" s="15"/>
      <c r="BQ193" s="12"/>
      <c r="BR193" s="15"/>
      <c r="BS193" s="9"/>
      <c r="BU193" s="6"/>
      <c r="BV193" s="84"/>
      <c r="BW193" s="84"/>
      <c r="BX193" s="84"/>
    </row>
    <row r="194" spans="1:76" x14ac:dyDescent="0.25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2"/>
      <c r="AL194" s="52"/>
      <c r="AM194" s="53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3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3"/>
      <c r="BK194" s="58"/>
      <c r="BL194" s="15"/>
      <c r="BM194" s="12"/>
      <c r="BN194" s="15"/>
      <c r="BO194" s="12"/>
      <c r="BP194" s="15"/>
      <c r="BQ194" s="12"/>
      <c r="BR194" s="15"/>
      <c r="BS194" s="9"/>
      <c r="BU194" s="6"/>
      <c r="BV194" s="84"/>
      <c r="BW194" s="84"/>
      <c r="BX194" s="84"/>
    </row>
    <row r="195" spans="1:76" x14ac:dyDescent="0.25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2"/>
      <c r="AL195" s="52"/>
      <c r="AM195" s="53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3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3"/>
      <c r="BK195" s="58"/>
      <c r="BL195" s="90"/>
      <c r="BM195" s="12"/>
      <c r="BN195" s="90"/>
      <c r="BO195" s="12"/>
      <c r="BP195" s="90"/>
      <c r="BQ195" s="12"/>
      <c r="BR195" s="15"/>
      <c r="BS195" s="9"/>
      <c r="BU195" s="6"/>
      <c r="BV195" s="84"/>
      <c r="BW195" s="84"/>
      <c r="BX195" s="84"/>
    </row>
    <row r="196" spans="1:76" x14ac:dyDescent="0.25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2"/>
      <c r="AL196" s="52"/>
      <c r="AM196" s="53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3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3"/>
      <c r="BK196" s="58"/>
      <c r="BL196" s="90"/>
      <c r="BM196" s="12"/>
      <c r="BN196" s="90"/>
      <c r="BO196" s="12"/>
      <c r="BP196" s="90"/>
      <c r="BQ196" s="12"/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90"/>
      <c r="BM197" s="12"/>
      <c r="BN197" s="90"/>
      <c r="BO197" s="12"/>
      <c r="BP197" s="90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90"/>
      <c r="BM198" s="12"/>
      <c r="BN198" s="90"/>
      <c r="BO198" s="12"/>
      <c r="BP198" s="90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90"/>
      <c r="BM199" s="12"/>
      <c r="BN199" s="90"/>
      <c r="BO199" s="12"/>
      <c r="BP199" s="90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90"/>
      <c r="BM207" s="12"/>
      <c r="BN207" s="90"/>
      <c r="BO207" s="12"/>
      <c r="BP207" s="90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90"/>
      <c r="BM208" s="12"/>
      <c r="BN208" s="90"/>
      <c r="BO208" s="12"/>
      <c r="BP208" s="90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90"/>
      <c r="BM209" s="12"/>
      <c r="BN209" s="90"/>
      <c r="BO209" s="12"/>
      <c r="BP209" s="90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90"/>
      <c r="BM210" s="12"/>
      <c r="BN210" s="90"/>
      <c r="BO210" s="12"/>
      <c r="BP210" s="90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90"/>
      <c r="BM211" s="12"/>
      <c r="BN211" s="90"/>
      <c r="BO211" s="12"/>
      <c r="BP211" s="90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2"/>
  <sheetViews>
    <sheetView showGridLines="0" topLeftCell="AO1" zoomScale="80" zoomScaleNormal="80" workbookViewId="0">
      <pane ySplit="5" topLeftCell="A179" activePane="bottomLeft" state="frozen"/>
      <selection pane="bottomLeft" activeCell="AP186" sqref="AP186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62" t="s">
        <v>63</v>
      </c>
      <c r="C1" s="162"/>
      <c r="D1" s="162"/>
      <c r="E1" s="162"/>
      <c r="F1" s="174"/>
      <c r="G1" s="59"/>
      <c r="H1" s="162" t="s">
        <v>64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74"/>
      <c r="T1" s="175" t="s">
        <v>110</v>
      </c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7"/>
    </row>
    <row r="2" spans="1:57" s="4" customFormat="1" ht="15.75" customHeight="1" x14ac:dyDescent="0.25">
      <c r="A2" s="3"/>
      <c r="B2" s="166" t="s">
        <v>44</v>
      </c>
      <c r="C2" s="166"/>
      <c r="D2" s="166"/>
      <c r="E2" s="166"/>
      <c r="F2" s="166"/>
      <c r="G2" s="151" t="s">
        <v>146</v>
      </c>
      <c r="H2" s="171"/>
      <c r="I2" s="171"/>
      <c r="J2" s="171"/>
      <c r="K2" s="178"/>
      <c r="L2" s="151" t="s">
        <v>147</v>
      </c>
      <c r="M2" s="166"/>
      <c r="N2" s="166"/>
      <c r="O2" s="152"/>
      <c r="P2" s="151" t="s">
        <v>148</v>
      </c>
      <c r="Q2" s="166"/>
      <c r="R2" s="152"/>
      <c r="S2" s="69" t="s">
        <v>149</v>
      </c>
      <c r="T2" s="170" t="s">
        <v>37</v>
      </c>
      <c r="U2" s="171"/>
      <c r="V2" s="171"/>
      <c r="W2" s="171"/>
      <c r="X2" s="171"/>
      <c r="Y2" s="178"/>
      <c r="Z2" s="170" t="s">
        <v>38</v>
      </c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8"/>
      <c r="AO2" s="170" t="s">
        <v>41</v>
      </c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8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333</v>
      </c>
      <c r="W3" s="46" t="s">
        <v>334</v>
      </c>
      <c r="X3" s="46" t="s">
        <v>102</v>
      </c>
      <c r="Y3" s="47" t="s">
        <v>37</v>
      </c>
      <c r="Z3" s="145" t="s">
        <v>37</v>
      </c>
      <c r="AA3" s="40" t="s">
        <v>306</v>
      </c>
      <c r="AB3" s="40" t="s">
        <v>305</v>
      </c>
      <c r="AC3" s="40" t="s">
        <v>307</v>
      </c>
      <c r="AD3" s="40" t="s">
        <v>308</v>
      </c>
      <c r="AE3" s="40" t="s">
        <v>335</v>
      </c>
      <c r="AF3" s="40" t="s">
        <v>315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72" t="s">
        <v>109</v>
      </c>
      <c r="C4" s="173"/>
      <c r="D4" s="173"/>
      <c r="E4" s="173"/>
      <c r="F4" s="173"/>
      <c r="G4" s="172" t="s">
        <v>153</v>
      </c>
      <c r="H4" s="155"/>
      <c r="I4" s="155"/>
      <c r="J4" s="155"/>
      <c r="K4" s="155"/>
      <c r="L4" s="173"/>
      <c r="M4" s="173"/>
      <c r="N4" s="173"/>
      <c r="O4" s="173"/>
      <c r="P4" s="173"/>
      <c r="Q4" s="173"/>
      <c r="R4" s="173"/>
      <c r="S4" s="183"/>
      <c r="T4" s="172" t="s">
        <v>116</v>
      </c>
      <c r="U4" s="173"/>
      <c r="V4" s="173"/>
      <c r="W4" s="173"/>
      <c r="X4" s="173"/>
      <c r="Y4" s="60" t="s">
        <v>109</v>
      </c>
      <c r="Z4" s="154" t="s">
        <v>116</v>
      </c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60" t="s">
        <v>109</v>
      </c>
      <c r="AO4" s="155" t="s">
        <v>117</v>
      </c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60" t="s">
        <v>109</v>
      </c>
    </row>
    <row r="5" spans="1:57" ht="15" customHeight="1" x14ac:dyDescent="0.25">
      <c r="A5" s="3"/>
      <c r="B5" s="157" t="s">
        <v>101</v>
      </c>
      <c r="C5" s="158"/>
      <c r="D5" s="158"/>
      <c r="E5" s="158"/>
      <c r="F5" s="158"/>
      <c r="G5" s="179" t="s">
        <v>99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1"/>
      <c r="T5" s="180" t="s">
        <v>99</v>
      </c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2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1.1227910636477574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-0.25788667419377903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-0.47437651246534956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30.186369806408901</v>
      </c>
      <c r="V186" s="12">
        <f>+('Base original'!AJ187/'Base original'!AJ175*100-100)*'Base original'!AJ175/'Base original'!$AM175</f>
        <v>18.247100723700786</v>
      </c>
      <c r="W186" s="12">
        <f>+('Base original'!AK187/'Base original'!AK175*100-100)*'Base original'!AK175/'Base original'!$AM175</f>
        <v>11.939269082708114</v>
      </c>
      <c r="X186" s="12">
        <f>+('Base original'!AL187/'Base original'!AL175*100-100)*'Base original'!AL175/'Base original'!$AM175</f>
        <v>13.753386092649546</v>
      </c>
      <c r="Y186" s="9">
        <f>+('Base original'!AM187/'Base original'!AM175*100-100)*'Base original'!AM175/'Base original'!$AM175</f>
        <v>53.915955657430715</v>
      </c>
      <c r="Z186" s="12">
        <f>+('Base original'!AM187/'Base original'!AM175*100-100)*'Base original'!AM175/'Base original'!$AY175</f>
        <v>15.086267078946763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-9.2575241324734363E-3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0.12657472823932903</v>
      </c>
      <c r="AN186" s="9">
        <f>+('Base original'!AY187/'Base original'!AY175*100-100)*'Base original'!AY175/'Base original'!$AY175</f>
        <v>4.9388729528318862</v>
      </c>
      <c r="AO186" s="12">
        <f>+('Base original'!AY187/'Base original'!AY175*100-100)*'Base original'!AY175/'Base original'!$BJ175</f>
        <v>2.9299540106000501</v>
      </c>
      <c r="AP186" s="12">
        <f>+('Base original'!AZ187/'Base original'!AZ175*100-100)*'Base original'!AZ175/'Base original'!$BJ175</f>
        <v>1.3232902325983662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0.39090406479202205</v>
      </c>
      <c r="AX186" s="12">
        <f>+('Base original'!BH187/'Base original'!BH175*100-100)*'Base original'!BH175/'Base original'!$BJ175</f>
        <v>2.7078340452667877</v>
      </c>
      <c r="AY186" s="12">
        <f>+('Base original'!BI187/'Base original'!BI175*100-100)*'Base original'!BI175/'Base original'!$BJ175</f>
        <v>6.346369278590723E-2</v>
      </c>
      <c r="AZ186" s="12">
        <f>+(('Base original'!BF187-'Base original'!BH187)/('Base original'!BF175-'Base original'!BH175)*100-100)*('Base original'!BF175-'Base original'!BH175)/'Base original'!$BJ175</f>
        <v>-1.8108707324292284</v>
      </c>
      <c r="BA186" s="12">
        <f>+(('Base original'!BG187-'Base original'!BI187)/('Base original'!BG175-'Base original'!BI175)*100-100)*('Base original'!BG175-'Base original'!BI175)/'Base original'!$BJ175</f>
        <v>0.3274403720061147</v>
      </c>
      <c r="BB186" s="9">
        <f>+('Base original'!BJ187/'Base original'!BJ175*100-100)*'Base original'!BJ175/'Base original'!$BJ175</f>
        <v>6.7429288452894696</v>
      </c>
    </row>
    <row r="187" spans="1:54" x14ac:dyDescent="0.25">
      <c r="A187" s="20">
        <v>44197</v>
      </c>
      <c r="B187" s="12">
        <f>+'Base original'!B188/'Base original'!B176*100-100</f>
        <v>6.2012104409346733</v>
      </c>
      <c r="C187" s="12">
        <f>+'Base original'!C188/'Base original'!C176*100-100</f>
        <v>-14.421974883828881</v>
      </c>
      <c r="D187" s="12">
        <f>+'Base original'!D188/'Base original'!D176*100-100</f>
        <v>7.9421745075621004</v>
      </c>
      <c r="E187" s="12">
        <f>+'Base original'!E188/'Base original'!E176*100-100</f>
        <v>-28.187870292823987</v>
      </c>
      <c r="F187" s="9">
        <f>+'Base original'!F188/'Base original'!F176*100-100</f>
        <v>2.4637706436529783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17.808714985617744</v>
      </c>
      <c r="W187" s="12">
        <f>+('Base original'!AK188/'Base original'!AK176*100-100)*'Base original'!AK176/'Base original'!$AM176</f>
        <v>14.480577708840226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-9.7597492727729076</v>
      </c>
      <c r="AC187" s="12">
        <f>+('Base original'!AP188/'Base original'!AP176*100-100)*'Base original'!AP176/'Base original'!$AY176</f>
        <v>-5.0202883624382135</v>
      </c>
      <c r="AD187" s="12">
        <f>+('Base original'!AQ188/'Base original'!AQ176*100-100)*'Base original'!AQ176/'Base original'!$AY176</f>
        <v>-4.7394609103347518</v>
      </c>
      <c r="AE187" s="12">
        <f>+('Base original'!AR188/'Base original'!AR176*100-100)*'Base original'!AR176/'Base original'!$AY176</f>
        <v>-6.4530911460567184</v>
      </c>
      <c r="AF187" s="12">
        <f>+('Base original'!AS188/'Base original'!AS176*100-100)*'Base original'!AS176/'Base original'!$AY176</f>
        <v>-0.28891705578831978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0.95037523753074915</v>
      </c>
      <c r="AI187" s="12">
        <f>+('Base original'!AV188/'Base original'!AV176*100-100)*'Base original'!AV176/'Base original'!$AY176</f>
        <v>0.12111130667689293</v>
      </c>
      <c r="AJ187" s="12">
        <f>+('Base original'!AW188/'Base original'!AW176*100-100)*'Base original'!AW176/'Base original'!$AY176</f>
        <v>-3.8008834503111375</v>
      </c>
      <c r="AK187" s="12">
        <f>+('Base original'!AX188/'Base original'!AX176*100-100)*'Base original'!AX176/'Base original'!$AY176</f>
        <v>2.3306618398415695E-3</v>
      </c>
      <c r="AL187" s="12">
        <f>+(('Base original'!AU188-'Base original'!AW188)/('Base original'!AU176-'Base original'!AW176)*100-100)*(('Base original'!AU176-'Base original'!AW176)/'Base original'!AY176)</f>
        <v>4.7512586878418857</v>
      </c>
      <c r="AM187" s="12">
        <f>+(('Base original'!AV188-'Base original'!AX188)/('Base original'!AV176-'Base original'!AX176)*100-100)*(('Base original'!AV176-'Base original'!AX176)/'Base original'!AY176)</f>
        <v>0.1187806448370515</v>
      </c>
      <c r="AN187" s="9">
        <f>+('Base original'!AY188/'Base original'!AY176*100-100)*'Base original'!AY176/'Base original'!$AY176</f>
        <v>8.1464811550555112</v>
      </c>
      <c r="AO187" s="12">
        <f>+('Base original'!AY188/'Base original'!AY176*100-100)*'Base original'!AY176/'Base original'!$BJ176</f>
        <v>4.8036551488853876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2.4467943760396436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3.4131846370008337E-2</v>
      </c>
      <c r="AU187" s="12">
        <f>+('Base original'!BE188/'Base original'!BE176*100-100)*'Base original'!BE176/'Base original'!$BJ176</f>
        <v>1.0562400032483845</v>
      </c>
      <c r="AV187" s="12">
        <f>+('Base original'!BF188/'Base original'!BF176*100-100)*'Base original'!BF176/'Base original'!$BJ176</f>
        <v>0.86436807880410338</v>
      </c>
      <c r="AW187" s="12">
        <f>+('Base original'!BG188/'Base original'!BG176*100-100)*'Base original'!BG176/'Base original'!$BJ176</f>
        <v>0.39491946451461402</v>
      </c>
      <c r="AX187" s="12">
        <f>+('Base original'!BH188/'Base original'!BH176*100-100)*'Base original'!BH176/'Base original'!$BJ176</f>
        <v>2.9040452117087332</v>
      </c>
      <c r="AY187" s="12">
        <f>+('Base original'!BI188/'Base original'!BI176*100-100)*'Base original'!BI176/'Base original'!$BJ176</f>
        <v>6.4415548234717887E-2</v>
      </c>
      <c r="AZ187" s="12">
        <f>+(('Base original'!BF188-'Base original'!BH188)/('Base original'!BF176-'Base original'!BH176)*100-100)*('Base original'!BF176-'Base original'!BH176)/'Base original'!$BJ176</f>
        <v>-2.0396771329046293</v>
      </c>
      <c r="BA187" s="12">
        <f>+(('Base original'!BG188-'Base original'!BI188)/('Base original'!BG176-'Base original'!BI176)*100-100)*('Base original'!BG176-'Base original'!BI176)/'Base original'!$BJ176</f>
        <v>0.33050391627989611</v>
      </c>
      <c r="BB187" s="9">
        <f>+('Base original'!BJ188/'Base original'!BJ176*100-100)*'Base original'!BJ176/'Base original'!$BJ176</f>
        <v>6.9220424987851601</v>
      </c>
    </row>
    <row r="188" spans="1:54" x14ac:dyDescent="0.25">
      <c r="Y188" s="87"/>
    </row>
    <row r="189" spans="1:54" x14ac:dyDescent="0.25">
      <c r="Y189" s="87"/>
    </row>
    <row r="190" spans="1:54" x14ac:dyDescent="0.25">
      <c r="Y190" s="87"/>
    </row>
    <row r="191" spans="1:54" x14ac:dyDescent="0.25">
      <c r="Y191" s="87"/>
    </row>
    <row r="192" spans="1:54" x14ac:dyDescent="0.25">
      <c r="Y192" s="87"/>
    </row>
  </sheetData>
  <mergeCells count="18">
    <mergeCell ref="B4:F4"/>
    <mergeCell ref="G4:S4"/>
    <mergeCell ref="T4:X4"/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87"/>
  <sheetViews>
    <sheetView showGridLines="0"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A187" sqref="A187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62" t="s">
        <v>108</v>
      </c>
      <c r="C1" s="162"/>
      <c r="D1" s="162"/>
      <c r="E1" s="162"/>
      <c r="F1" s="174"/>
    </row>
    <row r="2" spans="1:9" s="4" customFormat="1" ht="21.75" customHeight="1" x14ac:dyDescent="0.25">
      <c r="A2" s="3"/>
      <c r="B2" s="171" t="s">
        <v>44</v>
      </c>
      <c r="C2" s="171"/>
      <c r="D2" s="171"/>
      <c r="E2" s="171"/>
      <c r="F2" s="178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72" t="s">
        <v>111</v>
      </c>
      <c r="C4" s="173"/>
      <c r="D4" s="173"/>
      <c r="E4" s="173"/>
      <c r="F4" s="183"/>
    </row>
    <row r="5" spans="1:9" ht="15" customHeight="1" x14ac:dyDescent="0.25">
      <c r="A5" s="3"/>
      <c r="B5" s="157" t="s">
        <v>101</v>
      </c>
      <c r="C5" s="158"/>
      <c r="D5" s="158"/>
      <c r="E5" s="158"/>
      <c r="F5" s="159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0.75114058859719535</v>
      </c>
      <c r="C187" s="12">
        <f>('Base original'!C188/'Base original'!C187*100-100)</f>
        <v>-0.90119203104956114</v>
      </c>
      <c r="D187" s="12">
        <f>('Base original'!D188/'Base original'!D187*100-100)</f>
        <v>0.81656102250475726</v>
      </c>
      <c r="E187" s="12">
        <f>('Base original'!E188/'Base original'!E187*100-100)</f>
        <v>3.2674973080741836</v>
      </c>
      <c r="F187" s="10">
        <f>('Base original'!F188/'Base original'!F187*100-100)</f>
        <v>0.71717551160223536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topLeftCell="A25" zoomScaleNormal="100" workbookViewId="0">
      <selection activeCell="N132" sqref="N131:N132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43466</v>
      </c>
      <c r="P1" s="22"/>
      <c r="Q1" s="22"/>
      <c r="R1" s="22"/>
      <c r="S1" s="22"/>
      <c r="T1" s="22"/>
      <c r="U1" s="22"/>
    </row>
    <row r="2" spans="1:21" x14ac:dyDescent="0.25">
      <c r="A2" s="51">
        <v>44197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6"/>
      <c r="R3" s="96"/>
      <c r="S3" s="96"/>
      <c r="T3" s="96"/>
      <c r="U3" s="96"/>
    </row>
    <row r="4" spans="1:21" x14ac:dyDescent="0.25">
      <c r="P4" s="22"/>
      <c r="Q4" s="94"/>
      <c r="R4" s="94"/>
      <c r="S4" s="94"/>
      <c r="T4" s="94"/>
      <c r="U4" s="94"/>
    </row>
    <row r="5" spans="1:21" x14ac:dyDescent="0.25">
      <c r="P5" s="22"/>
      <c r="Q5" s="94"/>
      <c r="R5" s="94"/>
      <c r="S5" s="94"/>
      <c r="T5" s="94"/>
      <c r="U5" s="94"/>
    </row>
    <row r="6" spans="1:21" x14ac:dyDescent="0.25">
      <c r="P6" s="22"/>
      <c r="Q6" s="94"/>
      <c r="R6" s="94"/>
      <c r="S6" s="94"/>
      <c r="T6" s="94"/>
      <c r="U6" s="94"/>
    </row>
    <row r="7" spans="1:21" x14ac:dyDescent="0.25">
      <c r="P7" s="22"/>
      <c r="Q7" s="94"/>
      <c r="R7" s="94"/>
      <c r="S7" s="94"/>
      <c r="T7" s="94"/>
      <c r="U7" s="94"/>
    </row>
    <row r="8" spans="1:21" x14ac:dyDescent="0.25">
      <c r="P8" s="22"/>
      <c r="Q8" s="94"/>
      <c r="R8" s="94"/>
      <c r="S8" s="94"/>
      <c r="T8" s="94"/>
      <c r="U8" s="94"/>
    </row>
    <row r="9" spans="1:21" x14ac:dyDescent="0.25">
      <c r="P9" s="22"/>
      <c r="Q9" s="94"/>
      <c r="R9" s="94"/>
      <c r="S9" s="94"/>
      <c r="T9" s="94"/>
      <c r="U9" s="94"/>
    </row>
    <row r="10" spans="1:21" x14ac:dyDescent="0.25">
      <c r="P10" s="22"/>
      <c r="Q10" s="94"/>
      <c r="R10" s="94"/>
      <c r="S10" s="94"/>
      <c r="T10" s="94"/>
      <c r="U10" s="94"/>
    </row>
    <row r="11" spans="1:21" x14ac:dyDescent="0.25">
      <c r="P11" s="22"/>
      <c r="Q11" s="95"/>
      <c r="R11" s="95"/>
      <c r="S11" s="95"/>
      <c r="T11" s="95"/>
      <c r="U11" s="95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85" t="s">
        <v>88</v>
      </c>
      <c r="H17" s="185"/>
      <c r="I17" s="185"/>
      <c r="J17" s="185"/>
      <c r="L17" s="27" t="s">
        <v>84</v>
      </c>
    </row>
    <row r="18" spans="1:20" ht="24" customHeight="1" x14ac:dyDescent="0.25">
      <c r="B18" s="27"/>
      <c r="G18" s="185"/>
      <c r="H18" s="185"/>
      <c r="I18" s="185"/>
      <c r="J18" s="185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84" t="s">
        <v>89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86" t="s">
        <v>90</v>
      </c>
      <c r="C23" s="186"/>
      <c r="D23" s="186"/>
      <c r="E23" s="186"/>
      <c r="G23" s="186" t="s">
        <v>91</v>
      </c>
      <c r="H23" s="186"/>
      <c r="I23" s="186"/>
      <c r="J23" s="186"/>
      <c r="L23" s="186" t="s">
        <v>92</v>
      </c>
      <c r="M23" s="186"/>
      <c r="N23" s="186"/>
      <c r="O23" s="186"/>
      <c r="Q23" s="186" t="s">
        <v>93</v>
      </c>
      <c r="R23" s="186"/>
      <c r="S23" s="186"/>
      <c r="T23" s="186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86" t="s">
        <v>90</v>
      </c>
      <c r="C40" s="186"/>
      <c r="D40" s="186"/>
      <c r="E40" s="186"/>
      <c r="G40" s="186" t="s">
        <v>91</v>
      </c>
      <c r="H40" s="186"/>
      <c r="I40" s="186"/>
      <c r="J40" s="186"/>
      <c r="L40" s="186" t="s">
        <v>92</v>
      </c>
      <c r="M40" s="186"/>
      <c r="N40" s="186"/>
      <c r="O40" s="186"/>
      <c r="Q40" s="186" t="s">
        <v>93</v>
      </c>
      <c r="R40" s="186"/>
      <c r="S40" s="186"/>
      <c r="T40" s="186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9" t="s">
        <v>186</v>
      </c>
    </row>
    <row r="57" spans="2:17" x14ac:dyDescent="0.25">
      <c r="B57" s="23"/>
    </row>
    <row r="58" spans="2:17" x14ac:dyDescent="0.25">
      <c r="B58" s="23"/>
      <c r="D58" s="186" t="s">
        <v>90</v>
      </c>
      <c r="E58" s="186"/>
      <c r="F58" s="186"/>
      <c r="G58" s="186"/>
      <c r="I58" s="186" t="s">
        <v>136</v>
      </c>
      <c r="J58" s="186"/>
      <c r="K58" s="186"/>
      <c r="L58" s="186"/>
      <c r="N58" s="186" t="s">
        <v>92</v>
      </c>
      <c r="O58" s="186"/>
      <c r="P58" s="186"/>
      <c r="Q58" s="186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9" t="s">
        <v>176</v>
      </c>
    </row>
    <row r="75" spans="2:20" ht="16.5" x14ac:dyDescent="0.35">
      <c r="B75" s="78" t="s">
        <v>177</v>
      </c>
    </row>
    <row r="76" spans="2:20" x14ac:dyDescent="0.25">
      <c r="B76" s="186" t="s">
        <v>94</v>
      </c>
      <c r="C76" s="186"/>
      <c r="D76" s="186"/>
      <c r="E76" s="186"/>
      <c r="G76" s="186" t="s">
        <v>95</v>
      </c>
      <c r="H76" s="186"/>
      <c r="I76" s="186"/>
      <c r="J76" s="186"/>
      <c r="M76" s="88"/>
      <c r="N76" s="88" t="s">
        <v>77</v>
      </c>
      <c r="O76" s="88"/>
      <c r="Q76" s="186" t="s">
        <v>76</v>
      </c>
      <c r="R76" s="186"/>
      <c r="S76" s="186"/>
      <c r="T76" s="186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86" t="s">
        <v>42</v>
      </c>
      <c r="C95" s="186"/>
      <c r="D95" s="186"/>
      <c r="E95" s="186"/>
      <c r="G95" s="186" t="s">
        <v>97</v>
      </c>
      <c r="H95" s="186"/>
      <c r="I95" s="186"/>
      <c r="J95" s="186"/>
      <c r="L95" s="186" t="s">
        <v>98</v>
      </c>
      <c r="M95" s="186"/>
      <c r="N95" s="186"/>
      <c r="O95" s="186"/>
      <c r="Q95" s="186" t="s">
        <v>45</v>
      </c>
      <c r="R95" s="186"/>
      <c r="S95" s="186"/>
      <c r="T95" s="186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86" t="s">
        <v>37</v>
      </c>
      <c r="C115" s="186"/>
      <c r="D115" s="186"/>
      <c r="E115" s="186"/>
      <c r="H115" s="186" t="s">
        <v>38</v>
      </c>
      <c r="I115" s="186"/>
      <c r="J115" s="186"/>
      <c r="K115" s="186"/>
      <c r="N115" s="186" t="s">
        <v>41</v>
      </c>
      <c r="O115" s="186"/>
      <c r="P115" s="186"/>
      <c r="Q115" s="186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188</v>
      </c>
    </row>
    <row r="2" spans="1:14" x14ac:dyDescent="0.25">
      <c r="A2" s="91" t="s">
        <v>188</v>
      </c>
      <c r="B2" t="s">
        <v>189</v>
      </c>
      <c r="C2" t="s">
        <v>336</v>
      </c>
      <c r="D2">
        <v>25877.188999999998</v>
      </c>
      <c r="E2" s="92">
        <v>44231.773993055554</v>
      </c>
      <c r="F2" t="b">
        <v>1</v>
      </c>
      <c r="G2" s="91" t="s">
        <v>0</v>
      </c>
      <c r="H2" s="91" t="s">
        <v>190</v>
      </c>
      <c r="I2" s="91" t="s">
        <v>337</v>
      </c>
      <c r="J2">
        <v>0</v>
      </c>
      <c r="K2" s="91" t="s">
        <v>192</v>
      </c>
      <c r="L2" t="b">
        <v>0</v>
      </c>
      <c r="M2" t="b">
        <v>0</v>
      </c>
      <c r="N2" t="b">
        <v>0</v>
      </c>
    </row>
    <row r="3" spans="1:14" x14ac:dyDescent="0.25">
      <c r="A3" s="91" t="s">
        <v>188</v>
      </c>
      <c r="B3" t="s">
        <v>193</v>
      </c>
      <c r="C3" t="s">
        <v>336</v>
      </c>
      <c r="D3">
        <v>5571.0029999999997</v>
      </c>
      <c r="E3" s="92">
        <v>44231.773993055554</v>
      </c>
      <c r="F3" t="b">
        <v>1</v>
      </c>
      <c r="G3" s="91" t="s">
        <v>1</v>
      </c>
      <c r="H3" s="91" t="s">
        <v>190</v>
      </c>
      <c r="I3" s="91" t="s">
        <v>337</v>
      </c>
      <c r="J3">
        <v>0</v>
      </c>
      <c r="K3" s="91" t="s">
        <v>192</v>
      </c>
      <c r="L3" t="b">
        <v>0</v>
      </c>
      <c r="M3" t="b">
        <v>0</v>
      </c>
      <c r="N3" t="b">
        <v>0</v>
      </c>
    </row>
    <row r="4" spans="1:14" x14ac:dyDescent="0.25">
      <c r="A4" s="91" t="s">
        <v>188</v>
      </c>
      <c r="B4" t="s">
        <v>194</v>
      </c>
      <c r="C4" t="s">
        <v>336</v>
      </c>
      <c r="D4">
        <v>9317.4879999999994</v>
      </c>
      <c r="E4" s="92">
        <v>44231.773993055554</v>
      </c>
      <c r="F4" t="b">
        <v>1</v>
      </c>
      <c r="G4" s="91" t="s">
        <v>2</v>
      </c>
      <c r="H4" s="91" t="s">
        <v>190</v>
      </c>
      <c r="I4" s="91" t="s">
        <v>337</v>
      </c>
      <c r="J4">
        <v>0</v>
      </c>
      <c r="K4" s="91" t="s">
        <v>192</v>
      </c>
      <c r="L4" t="b">
        <v>0</v>
      </c>
      <c r="M4" t="b">
        <v>0</v>
      </c>
      <c r="N4" t="b">
        <v>0</v>
      </c>
    </row>
    <row r="5" spans="1:14" x14ac:dyDescent="0.25">
      <c r="A5" s="91" t="s">
        <v>188</v>
      </c>
      <c r="B5" t="s">
        <v>195</v>
      </c>
      <c r="C5" t="s">
        <v>336</v>
      </c>
      <c r="D5">
        <v>3905.4259999999999</v>
      </c>
      <c r="E5" s="92">
        <v>44231.773993055554</v>
      </c>
      <c r="F5" t="b">
        <v>1</v>
      </c>
      <c r="G5" s="91" t="s">
        <v>3</v>
      </c>
      <c r="H5" s="91" t="s">
        <v>190</v>
      </c>
      <c r="I5" s="91" t="s">
        <v>337</v>
      </c>
      <c r="J5">
        <v>0</v>
      </c>
      <c r="K5" s="91" t="s">
        <v>192</v>
      </c>
      <c r="L5" t="b">
        <v>0</v>
      </c>
      <c r="M5" t="b">
        <v>0</v>
      </c>
      <c r="N5" t="b">
        <v>0</v>
      </c>
    </row>
    <row r="6" spans="1:14" x14ac:dyDescent="0.25">
      <c r="A6" s="91" t="s">
        <v>188</v>
      </c>
      <c r="B6" t="s">
        <v>196</v>
      </c>
      <c r="C6" t="s">
        <v>336</v>
      </c>
      <c r="D6">
        <v>44671.106</v>
      </c>
      <c r="E6" s="92">
        <v>44231.773993055554</v>
      </c>
      <c r="F6" t="b">
        <v>1</v>
      </c>
      <c r="G6" s="91" t="s">
        <v>4</v>
      </c>
      <c r="H6" s="91" t="s">
        <v>190</v>
      </c>
      <c r="I6" s="91" t="s">
        <v>337</v>
      </c>
      <c r="J6">
        <v>0</v>
      </c>
      <c r="K6" s="91" t="s">
        <v>192</v>
      </c>
      <c r="L6" t="b">
        <v>0</v>
      </c>
      <c r="M6" t="b">
        <v>0</v>
      </c>
      <c r="N6" t="b">
        <v>0</v>
      </c>
    </row>
    <row r="7" spans="1:14" x14ac:dyDescent="0.25">
      <c r="A7" s="91" t="s">
        <v>188</v>
      </c>
      <c r="B7" t="s">
        <v>197</v>
      </c>
      <c r="C7" t="s">
        <v>336</v>
      </c>
      <c r="D7">
        <v>26.840105511345499</v>
      </c>
      <c r="E7" s="92">
        <v>44231.773993055554</v>
      </c>
      <c r="F7" t="b">
        <v>1</v>
      </c>
      <c r="G7" s="91" t="s">
        <v>5</v>
      </c>
      <c r="H7" s="91" t="s">
        <v>190</v>
      </c>
      <c r="I7" s="91" t="s">
        <v>337</v>
      </c>
      <c r="J7">
        <v>0</v>
      </c>
      <c r="K7" s="91" t="s">
        <v>192</v>
      </c>
      <c r="L7" t="b">
        <v>0</v>
      </c>
      <c r="M7" t="b">
        <v>0</v>
      </c>
      <c r="N7" t="b">
        <v>0</v>
      </c>
    </row>
    <row r="8" spans="1:14" x14ac:dyDescent="0.25">
      <c r="A8" s="91" t="s">
        <v>188</v>
      </c>
      <c r="B8" t="s">
        <v>198</v>
      </c>
      <c r="C8" t="s">
        <v>336</v>
      </c>
      <c r="E8" s="92">
        <v>44231.773993055554</v>
      </c>
      <c r="F8" t="b">
        <v>1</v>
      </c>
      <c r="G8" s="91" t="s">
        <v>160</v>
      </c>
      <c r="H8" s="91" t="s">
        <v>190</v>
      </c>
      <c r="I8" s="91" t="s">
        <v>337</v>
      </c>
      <c r="J8">
        <v>0</v>
      </c>
      <c r="K8" s="91" t="s">
        <v>192</v>
      </c>
      <c r="L8" t="b">
        <v>0</v>
      </c>
      <c r="M8" t="b">
        <v>0</v>
      </c>
      <c r="N8" t="b">
        <v>0</v>
      </c>
    </row>
    <row r="9" spans="1:14" x14ac:dyDescent="0.25">
      <c r="A9" s="91" t="s">
        <v>188</v>
      </c>
      <c r="B9" t="s">
        <v>199</v>
      </c>
      <c r="C9" t="s">
        <v>336</v>
      </c>
      <c r="E9" s="92">
        <v>44231.773993055554</v>
      </c>
      <c r="F9" t="b">
        <v>1</v>
      </c>
      <c r="G9" s="91" t="s">
        <v>173</v>
      </c>
      <c r="H9" s="91" t="s">
        <v>190</v>
      </c>
      <c r="I9" s="91" t="s">
        <v>337</v>
      </c>
      <c r="J9">
        <v>0</v>
      </c>
      <c r="K9" s="91" t="s">
        <v>192</v>
      </c>
      <c r="L9" t="b">
        <v>0</v>
      </c>
      <c r="M9" t="b">
        <v>0</v>
      </c>
      <c r="N9" t="b">
        <v>0</v>
      </c>
    </row>
    <row r="10" spans="1:14" x14ac:dyDescent="0.25">
      <c r="A10" s="91" t="s">
        <v>188</v>
      </c>
      <c r="B10" t="s">
        <v>200</v>
      </c>
      <c r="C10" t="s">
        <v>336</v>
      </c>
      <c r="E10" s="92">
        <v>44231.773993055554</v>
      </c>
      <c r="F10" t="b">
        <v>1</v>
      </c>
      <c r="G10" s="91" t="s">
        <v>170</v>
      </c>
      <c r="H10" s="91" t="s">
        <v>190</v>
      </c>
      <c r="I10" s="91" t="s">
        <v>337</v>
      </c>
      <c r="J10">
        <v>0</v>
      </c>
      <c r="K10" s="91" t="s">
        <v>192</v>
      </c>
      <c r="L10" t="b">
        <v>0</v>
      </c>
      <c r="M10" t="b">
        <v>0</v>
      </c>
      <c r="N10" t="b">
        <v>0</v>
      </c>
    </row>
    <row r="11" spans="1:14" x14ac:dyDescent="0.25">
      <c r="A11" s="91" t="s">
        <v>188</v>
      </c>
      <c r="B11" t="s">
        <v>201</v>
      </c>
      <c r="C11" t="s">
        <v>336</v>
      </c>
      <c r="E11" s="92">
        <v>44231.773993055554</v>
      </c>
      <c r="F11" t="b">
        <v>1</v>
      </c>
      <c r="G11" s="91" t="s">
        <v>172</v>
      </c>
      <c r="H11" s="91" t="s">
        <v>190</v>
      </c>
      <c r="I11" s="91" t="s">
        <v>337</v>
      </c>
      <c r="J11">
        <v>0</v>
      </c>
      <c r="K11" s="91" t="s">
        <v>192</v>
      </c>
      <c r="L11" t="b">
        <v>0</v>
      </c>
      <c r="M11" t="b">
        <v>0</v>
      </c>
      <c r="N11" t="b">
        <v>0</v>
      </c>
    </row>
    <row r="12" spans="1:14" x14ac:dyDescent="0.25">
      <c r="A12" s="91" t="s">
        <v>188</v>
      </c>
      <c r="B12" t="s">
        <v>202</v>
      </c>
      <c r="C12" t="s">
        <v>336</v>
      </c>
      <c r="E12" s="92">
        <v>44231.773993055554</v>
      </c>
      <c r="F12" t="b">
        <v>1</v>
      </c>
      <c r="G12" s="91" t="s">
        <v>169</v>
      </c>
      <c r="H12" s="91" t="s">
        <v>190</v>
      </c>
      <c r="I12" s="91" t="s">
        <v>337</v>
      </c>
      <c r="J12">
        <v>0</v>
      </c>
      <c r="K12" s="91" t="s">
        <v>192</v>
      </c>
      <c r="L12" t="b">
        <v>0</v>
      </c>
      <c r="M12" t="b">
        <v>0</v>
      </c>
      <c r="N12" t="b">
        <v>0</v>
      </c>
    </row>
    <row r="13" spans="1:14" x14ac:dyDescent="0.25">
      <c r="A13" s="91" t="s">
        <v>188</v>
      </c>
      <c r="B13" t="s">
        <v>203</v>
      </c>
      <c r="C13" t="s">
        <v>336</v>
      </c>
      <c r="E13" s="92">
        <v>44231.773993055554</v>
      </c>
      <c r="F13" t="b">
        <v>1</v>
      </c>
      <c r="G13" s="91" t="s">
        <v>122</v>
      </c>
      <c r="H13" s="91" t="s">
        <v>190</v>
      </c>
      <c r="I13" s="91" t="s">
        <v>337</v>
      </c>
      <c r="J13">
        <v>0</v>
      </c>
      <c r="K13" s="91" t="s">
        <v>192</v>
      </c>
      <c r="L13" t="b">
        <v>0</v>
      </c>
      <c r="M13" t="b">
        <v>0</v>
      </c>
      <c r="N13" t="b">
        <v>0</v>
      </c>
    </row>
    <row r="14" spans="1:14" x14ac:dyDescent="0.25">
      <c r="A14" s="91" t="s">
        <v>188</v>
      </c>
      <c r="B14" t="s">
        <v>204</v>
      </c>
      <c r="C14" t="s">
        <v>336</v>
      </c>
      <c r="E14" s="92">
        <v>44231.773993055554</v>
      </c>
      <c r="F14" t="b">
        <v>1</v>
      </c>
      <c r="G14" s="91" t="s">
        <v>167</v>
      </c>
      <c r="H14" s="91" t="s">
        <v>190</v>
      </c>
      <c r="I14" s="91" t="s">
        <v>337</v>
      </c>
      <c r="J14">
        <v>0</v>
      </c>
      <c r="K14" s="91" t="s">
        <v>192</v>
      </c>
      <c r="L14" t="b">
        <v>0</v>
      </c>
      <c r="M14" t="b">
        <v>0</v>
      </c>
      <c r="N14" t="b">
        <v>0</v>
      </c>
    </row>
    <row r="15" spans="1:14" x14ac:dyDescent="0.25">
      <c r="A15" s="91" t="s">
        <v>188</v>
      </c>
      <c r="B15" t="s">
        <v>205</v>
      </c>
      <c r="C15" t="s">
        <v>336</v>
      </c>
      <c r="E15" s="92">
        <v>44231.773993055554</v>
      </c>
      <c r="F15" t="b">
        <v>1</v>
      </c>
      <c r="G15" s="91" t="s">
        <v>123</v>
      </c>
      <c r="H15" s="91" t="s">
        <v>190</v>
      </c>
      <c r="I15" s="91" t="s">
        <v>337</v>
      </c>
      <c r="J15">
        <v>0</v>
      </c>
      <c r="K15" s="91" t="s">
        <v>192</v>
      </c>
      <c r="L15" t="b">
        <v>0</v>
      </c>
      <c r="M15" t="b">
        <v>0</v>
      </c>
      <c r="N15" t="b">
        <v>0</v>
      </c>
    </row>
    <row r="16" spans="1:14" x14ac:dyDescent="0.25">
      <c r="A16" s="91" t="s">
        <v>188</v>
      </c>
      <c r="B16" t="s">
        <v>206</v>
      </c>
      <c r="C16" t="s">
        <v>336</v>
      </c>
      <c r="E16" s="92">
        <v>44231.773993055554</v>
      </c>
      <c r="F16" t="b">
        <v>1</v>
      </c>
      <c r="G16" s="91" t="s">
        <v>168</v>
      </c>
      <c r="H16" s="91" t="s">
        <v>190</v>
      </c>
      <c r="I16" s="91" t="s">
        <v>337</v>
      </c>
      <c r="J16">
        <v>0</v>
      </c>
      <c r="K16" s="91" t="s">
        <v>192</v>
      </c>
      <c r="L16" t="b">
        <v>0</v>
      </c>
      <c r="M16" t="b">
        <v>0</v>
      </c>
      <c r="N16" t="b">
        <v>0</v>
      </c>
    </row>
    <row r="17" spans="1:14" x14ac:dyDescent="0.25">
      <c r="A17" s="91" t="s">
        <v>188</v>
      </c>
      <c r="B17" t="s">
        <v>207</v>
      </c>
      <c r="C17" t="s">
        <v>336</v>
      </c>
      <c r="D17">
        <v>10.2731725726366</v>
      </c>
      <c r="E17" s="92">
        <v>44231.773993055554</v>
      </c>
      <c r="F17" t="b">
        <v>1</v>
      </c>
      <c r="G17" s="91" t="s">
        <v>6</v>
      </c>
      <c r="H17" s="91" t="s">
        <v>190</v>
      </c>
      <c r="I17" s="91" t="s">
        <v>337</v>
      </c>
      <c r="J17">
        <v>0</v>
      </c>
      <c r="K17" s="91" t="s">
        <v>192</v>
      </c>
      <c r="L17" t="b">
        <v>0</v>
      </c>
      <c r="M17" t="b">
        <v>0</v>
      </c>
      <c r="N17" t="b">
        <v>0</v>
      </c>
    </row>
    <row r="18" spans="1:14" x14ac:dyDescent="0.25">
      <c r="A18" s="91" t="s">
        <v>188</v>
      </c>
      <c r="B18" t="s">
        <v>208</v>
      </c>
      <c r="C18" t="s">
        <v>336</v>
      </c>
      <c r="E18" s="92">
        <v>44231.773993055554</v>
      </c>
      <c r="F18" t="b">
        <v>1</v>
      </c>
      <c r="G18" s="91" t="s">
        <v>158</v>
      </c>
      <c r="H18" s="91" t="s">
        <v>190</v>
      </c>
      <c r="I18" s="91" t="s">
        <v>337</v>
      </c>
      <c r="J18">
        <v>0</v>
      </c>
      <c r="K18" s="91" t="s">
        <v>192</v>
      </c>
      <c r="L18" t="b">
        <v>0</v>
      </c>
      <c r="M18" t="b">
        <v>0</v>
      </c>
      <c r="N18" t="b">
        <v>0</v>
      </c>
    </row>
    <row r="19" spans="1:14" x14ac:dyDescent="0.25">
      <c r="A19" s="91" t="s">
        <v>188</v>
      </c>
      <c r="B19" t="s">
        <v>209</v>
      </c>
      <c r="C19" t="s">
        <v>336</v>
      </c>
      <c r="E19" s="92">
        <v>44231.773993055554</v>
      </c>
      <c r="F19" t="b">
        <v>1</v>
      </c>
      <c r="G19" s="91" t="s">
        <v>171</v>
      </c>
      <c r="H19" s="91" t="s">
        <v>190</v>
      </c>
      <c r="I19" s="91" t="s">
        <v>337</v>
      </c>
      <c r="J19">
        <v>0</v>
      </c>
      <c r="K19" s="91" t="s">
        <v>192</v>
      </c>
      <c r="L19" t="b">
        <v>0</v>
      </c>
      <c r="M19" t="b">
        <v>0</v>
      </c>
      <c r="N19" t="b">
        <v>0</v>
      </c>
    </row>
    <row r="20" spans="1:14" x14ac:dyDescent="0.25">
      <c r="A20" s="91" t="s">
        <v>188</v>
      </c>
      <c r="B20" t="s">
        <v>210</v>
      </c>
      <c r="C20" t="s">
        <v>336</v>
      </c>
      <c r="E20" s="92">
        <v>44231.773993055554</v>
      </c>
      <c r="F20" t="b">
        <v>1</v>
      </c>
      <c r="G20" s="91" t="s">
        <v>164</v>
      </c>
      <c r="H20" s="91" t="s">
        <v>190</v>
      </c>
      <c r="I20" s="91" t="s">
        <v>337</v>
      </c>
      <c r="J20">
        <v>0</v>
      </c>
      <c r="K20" s="91" t="s">
        <v>192</v>
      </c>
      <c r="L20" t="b">
        <v>0</v>
      </c>
      <c r="M20" t="b">
        <v>0</v>
      </c>
      <c r="N20" t="b">
        <v>0</v>
      </c>
    </row>
    <row r="21" spans="1:14" x14ac:dyDescent="0.25">
      <c r="A21" s="91" t="s">
        <v>188</v>
      </c>
      <c r="B21" t="s">
        <v>211</v>
      </c>
      <c r="C21" t="s">
        <v>336</v>
      </c>
      <c r="E21" s="92">
        <v>44231.773993055554</v>
      </c>
      <c r="F21" t="b">
        <v>1</v>
      </c>
      <c r="G21" s="91" t="s">
        <v>124</v>
      </c>
      <c r="H21" s="91" t="s">
        <v>190</v>
      </c>
      <c r="I21" s="91" t="s">
        <v>337</v>
      </c>
      <c r="J21">
        <v>0</v>
      </c>
      <c r="K21" s="91" t="s">
        <v>192</v>
      </c>
      <c r="L21" t="b">
        <v>0</v>
      </c>
      <c r="M21" t="b">
        <v>0</v>
      </c>
      <c r="N21" t="b">
        <v>0</v>
      </c>
    </row>
    <row r="22" spans="1:14" x14ac:dyDescent="0.25">
      <c r="A22" s="91" t="s">
        <v>188</v>
      </c>
      <c r="B22" t="s">
        <v>212</v>
      </c>
      <c r="C22" t="s">
        <v>336</v>
      </c>
      <c r="E22" s="92">
        <v>44231.773993055554</v>
      </c>
      <c r="F22" t="b">
        <v>1</v>
      </c>
      <c r="G22" s="91" t="s">
        <v>162</v>
      </c>
      <c r="H22" s="91" t="s">
        <v>190</v>
      </c>
      <c r="I22" s="91" t="s">
        <v>337</v>
      </c>
      <c r="J22">
        <v>0</v>
      </c>
      <c r="K22" s="91" t="s">
        <v>192</v>
      </c>
      <c r="L22" t="b">
        <v>0</v>
      </c>
      <c r="M22" t="b">
        <v>0</v>
      </c>
      <c r="N22" t="b">
        <v>0</v>
      </c>
    </row>
    <row r="23" spans="1:14" x14ac:dyDescent="0.25">
      <c r="A23" s="91" t="s">
        <v>188</v>
      </c>
      <c r="B23" t="s">
        <v>213</v>
      </c>
      <c r="C23" t="s">
        <v>336</v>
      </c>
      <c r="E23" s="92">
        <v>44231.773993055554</v>
      </c>
      <c r="F23" t="b">
        <v>1</v>
      </c>
      <c r="G23" s="91" t="s">
        <v>125</v>
      </c>
      <c r="H23" s="91" t="s">
        <v>190</v>
      </c>
      <c r="I23" s="91" t="s">
        <v>337</v>
      </c>
      <c r="J23">
        <v>0</v>
      </c>
      <c r="K23" s="91" t="s">
        <v>192</v>
      </c>
      <c r="L23" t="b">
        <v>0</v>
      </c>
      <c r="M23" t="b">
        <v>0</v>
      </c>
      <c r="N23" t="b">
        <v>0</v>
      </c>
    </row>
    <row r="24" spans="1:14" x14ac:dyDescent="0.25">
      <c r="A24" s="91" t="s">
        <v>188</v>
      </c>
      <c r="B24" t="s">
        <v>214</v>
      </c>
      <c r="C24" t="s">
        <v>336</v>
      </c>
      <c r="E24" s="92">
        <v>44231.773993055554</v>
      </c>
      <c r="F24" t="b">
        <v>1</v>
      </c>
      <c r="G24" s="91" t="s">
        <v>163</v>
      </c>
      <c r="H24" s="91" t="s">
        <v>190</v>
      </c>
      <c r="I24" s="91" t="s">
        <v>337</v>
      </c>
      <c r="J24">
        <v>0</v>
      </c>
      <c r="K24" s="91" t="s">
        <v>192</v>
      </c>
      <c r="L24" t="b">
        <v>0</v>
      </c>
      <c r="M24" t="b">
        <v>0</v>
      </c>
      <c r="N24" t="b">
        <v>0</v>
      </c>
    </row>
    <row r="25" spans="1:14" x14ac:dyDescent="0.25">
      <c r="A25" s="91" t="s">
        <v>188</v>
      </c>
      <c r="B25" t="s">
        <v>215</v>
      </c>
      <c r="C25" t="s">
        <v>336</v>
      </c>
      <c r="D25">
        <v>5.28923438819597</v>
      </c>
      <c r="E25" s="92">
        <v>44231.773993055554</v>
      </c>
      <c r="F25" t="b">
        <v>1</v>
      </c>
      <c r="G25" s="91" t="s">
        <v>7</v>
      </c>
      <c r="H25" s="91" t="s">
        <v>190</v>
      </c>
      <c r="I25" s="91" t="s">
        <v>337</v>
      </c>
      <c r="J25">
        <v>0</v>
      </c>
      <c r="K25" s="91" t="s">
        <v>192</v>
      </c>
      <c r="L25" t="b">
        <v>0</v>
      </c>
      <c r="M25" t="b">
        <v>0</v>
      </c>
      <c r="N25" t="b">
        <v>0</v>
      </c>
    </row>
    <row r="26" spans="1:14" x14ac:dyDescent="0.25">
      <c r="A26" s="91" t="s">
        <v>188</v>
      </c>
      <c r="B26" t="s">
        <v>216</v>
      </c>
      <c r="C26" t="s">
        <v>336</v>
      </c>
      <c r="E26" s="92">
        <v>44231.773993055554</v>
      </c>
      <c r="F26" t="b">
        <v>1</v>
      </c>
      <c r="G26" s="91" t="s">
        <v>159</v>
      </c>
      <c r="H26" s="91" t="s">
        <v>190</v>
      </c>
      <c r="I26" s="91" t="s">
        <v>337</v>
      </c>
      <c r="J26">
        <v>0</v>
      </c>
      <c r="K26" s="91" t="s">
        <v>192</v>
      </c>
      <c r="L26" t="b">
        <v>0</v>
      </c>
      <c r="M26" t="b">
        <v>0</v>
      </c>
      <c r="N26" t="b">
        <v>0</v>
      </c>
    </row>
    <row r="27" spans="1:14" x14ac:dyDescent="0.25">
      <c r="A27" s="91" t="s">
        <v>188</v>
      </c>
      <c r="B27" t="s">
        <v>217</v>
      </c>
      <c r="C27" t="s">
        <v>336</v>
      </c>
      <c r="E27" s="92">
        <v>44231.773993055554</v>
      </c>
      <c r="F27" t="b">
        <v>1</v>
      </c>
      <c r="G27" s="91" t="s">
        <v>126</v>
      </c>
      <c r="H27" s="91" t="s">
        <v>190</v>
      </c>
      <c r="I27" s="91" t="s">
        <v>337</v>
      </c>
      <c r="J27">
        <v>0</v>
      </c>
      <c r="K27" s="91" t="s">
        <v>192</v>
      </c>
      <c r="L27" t="b">
        <v>0</v>
      </c>
      <c r="M27" t="b">
        <v>0</v>
      </c>
      <c r="N27" t="b">
        <v>0</v>
      </c>
    </row>
    <row r="28" spans="1:14" x14ac:dyDescent="0.25">
      <c r="A28" s="91" t="s">
        <v>188</v>
      </c>
      <c r="B28" t="s">
        <v>218</v>
      </c>
      <c r="C28" t="s">
        <v>336</v>
      </c>
      <c r="E28" s="92">
        <v>44231.773993055554</v>
      </c>
      <c r="F28" t="b">
        <v>1</v>
      </c>
      <c r="G28" s="91" t="s">
        <v>165</v>
      </c>
      <c r="H28" s="91" t="s">
        <v>190</v>
      </c>
      <c r="I28" s="91" t="s">
        <v>337</v>
      </c>
      <c r="J28">
        <v>0</v>
      </c>
      <c r="K28" s="91" t="s">
        <v>192</v>
      </c>
      <c r="L28" t="b">
        <v>0</v>
      </c>
      <c r="M28" t="b">
        <v>0</v>
      </c>
      <c r="N28" t="b">
        <v>0</v>
      </c>
    </row>
    <row r="29" spans="1:14" x14ac:dyDescent="0.25">
      <c r="A29" s="91" t="s">
        <v>188</v>
      </c>
      <c r="B29" t="s">
        <v>219</v>
      </c>
      <c r="C29" t="s">
        <v>336</v>
      </c>
      <c r="E29" s="92">
        <v>44231.773993055554</v>
      </c>
      <c r="F29" t="b">
        <v>1</v>
      </c>
      <c r="G29" s="91" t="s">
        <v>127</v>
      </c>
      <c r="H29" s="91" t="s">
        <v>190</v>
      </c>
      <c r="I29" s="91" t="s">
        <v>337</v>
      </c>
      <c r="J29">
        <v>0</v>
      </c>
      <c r="K29" s="91" t="s">
        <v>192</v>
      </c>
      <c r="L29" t="b">
        <v>0</v>
      </c>
      <c r="M29" t="b">
        <v>0</v>
      </c>
      <c r="N29" t="b">
        <v>0</v>
      </c>
    </row>
    <row r="30" spans="1:14" x14ac:dyDescent="0.25">
      <c r="A30" s="91" t="s">
        <v>188</v>
      </c>
      <c r="B30" t="s">
        <v>220</v>
      </c>
      <c r="C30" t="s">
        <v>336</v>
      </c>
      <c r="E30" s="92">
        <v>44231.773993055554</v>
      </c>
      <c r="F30" t="b">
        <v>1</v>
      </c>
      <c r="G30" s="91" t="s">
        <v>166</v>
      </c>
      <c r="H30" s="91" t="s">
        <v>190</v>
      </c>
      <c r="I30" s="91" t="s">
        <v>337</v>
      </c>
      <c r="J30">
        <v>0</v>
      </c>
      <c r="K30" s="91" t="s">
        <v>192</v>
      </c>
      <c r="L30" t="b">
        <v>0</v>
      </c>
      <c r="M30" t="b">
        <v>0</v>
      </c>
      <c r="N30" t="b">
        <v>0</v>
      </c>
    </row>
    <row r="31" spans="1:14" x14ac:dyDescent="0.25">
      <c r="A31" s="91" t="s">
        <v>188</v>
      </c>
      <c r="B31" t="s">
        <v>221</v>
      </c>
      <c r="C31" t="s">
        <v>336</v>
      </c>
      <c r="D31">
        <v>5.31</v>
      </c>
      <c r="E31" s="92">
        <v>44231.773993055554</v>
      </c>
      <c r="F31" t="b">
        <v>1</v>
      </c>
      <c r="G31" s="91" t="s">
        <v>8</v>
      </c>
      <c r="H31" s="91" t="s">
        <v>190</v>
      </c>
      <c r="I31" s="91" t="s">
        <v>337</v>
      </c>
      <c r="J31">
        <v>0</v>
      </c>
      <c r="K31" s="91" t="s">
        <v>192</v>
      </c>
      <c r="L31" t="b">
        <v>0</v>
      </c>
      <c r="M31" t="b">
        <v>0</v>
      </c>
      <c r="N31" t="b">
        <v>0</v>
      </c>
    </row>
    <row r="32" spans="1:14" x14ac:dyDescent="0.25">
      <c r="A32" s="91" t="s">
        <v>188</v>
      </c>
      <c r="B32" t="s">
        <v>222</v>
      </c>
      <c r="C32" t="s">
        <v>336</v>
      </c>
      <c r="E32" s="92">
        <v>44231.773993055554</v>
      </c>
      <c r="F32" t="b">
        <v>1</v>
      </c>
      <c r="G32" s="91" t="s">
        <v>161</v>
      </c>
      <c r="H32" s="91" t="s">
        <v>190</v>
      </c>
      <c r="I32" s="91" t="s">
        <v>337</v>
      </c>
      <c r="J32">
        <v>0</v>
      </c>
      <c r="K32" s="91" t="s">
        <v>192</v>
      </c>
      <c r="L32" t="b">
        <v>0</v>
      </c>
      <c r="M32" t="b">
        <v>0</v>
      </c>
      <c r="N32" t="b">
        <v>0</v>
      </c>
    </row>
    <row r="33" spans="1:14" x14ac:dyDescent="0.25">
      <c r="A33" s="91" t="s">
        <v>188</v>
      </c>
      <c r="B33" t="s">
        <v>223</v>
      </c>
      <c r="C33" t="s">
        <v>336</v>
      </c>
      <c r="D33">
        <v>2757.7020000000002</v>
      </c>
      <c r="E33" s="92">
        <v>44231.773993055554</v>
      </c>
      <c r="F33" t="b">
        <v>1</v>
      </c>
      <c r="G33" s="91" t="s">
        <v>13</v>
      </c>
      <c r="H33" s="91" t="s">
        <v>190</v>
      </c>
      <c r="I33" s="91" t="s">
        <v>337</v>
      </c>
      <c r="J33">
        <v>0</v>
      </c>
      <c r="K33" s="91" t="s">
        <v>192</v>
      </c>
      <c r="L33" t="b">
        <v>0</v>
      </c>
      <c r="M33" t="b">
        <v>0</v>
      </c>
      <c r="N33" t="b">
        <v>0</v>
      </c>
    </row>
    <row r="34" spans="1:14" x14ac:dyDescent="0.25">
      <c r="A34" s="91" t="s">
        <v>188</v>
      </c>
      <c r="B34" t="s">
        <v>224</v>
      </c>
      <c r="C34" t="s">
        <v>336</v>
      </c>
      <c r="D34">
        <v>1694</v>
      </c>
      <c r="E34" s="92">
        <v>44231.773993055554</v>
      </c>
      <c r="F34" t="b">
        <v>1</v>
      </c>
      <c r="G34" s="91" t="s">
        <v>14</v>
      </c>
      <c r="H34" s="91" t="s">
        <v>190</v>
      </c>
      <c r="I34" s="91" t="s">
        <v>337</v>
      </c>
      <c r="J34">
        <v>0</v>
      </c>
      <c r="K34" s="91" t="s">
        <v>192</v>
      </c>
      <c r="L34" t="b">
        <v>0</v>
      </c>
      <c r="M34" t="b">
        <v>0</v>
      </c>
      <c r="N34" t="b">
        <v>0</v>
      </c>
    </row>
    <row r="35" spans="1:14" x14ac:dyDescent="0.25">
      <c r="A35" s="91" t="s">
        <v>188</v>
      </c>
      <c r="B35" t="s">
        <v>225</v>
      </c>
      <c r="C35" t="s">
        <v>336</v>
      </c>
      <c r="D35">
        <v>4523.3099999999995</v>
      </c>
      <c r="E35" s="92">
        <v>44231.773993055554</v>
      </c>
      <c r="F35" t="b">
        <v>1</v>
      </c>
      <c r="G35" s="91" t="s">
        <v>15</v>
      </c>
      <c r="H35" s="91" t="s">
        <v>190</v>
      </c>
      <c r="I35" s="91" t="s">
        <v>337</v>
      </c>
      <c r="J35">
        <v>0</v>
      </c>
      <c r="K35" s="91" t="s">
        <v>192</v>
      </c>
      <c r="L35" t="b">
        <v>0</v>
      </c>
      <c r="M35" t="b">
        <v>0</v>
      </c>
      <c r="N35" t="b">
        <v>0</v>
      </c>
    </row>
    <row r="36" spans="1:14" x14ac:dyDescent="0.25">
      <c r="A36" s="91" t="s">
        <v>188</v>
      </c>
      <c r="B36" t="s">
        <v>226</v>
      </c>
      <c r="C36" t="s">
        <v>336</v>
      </c>
      <c r="D36">
        <v>1360.3000000000002</v>
      </c>
      <c r="E36" s="92">
        <v>44231.773993055554</v>
      </c>
      <c r="F36" t="b">
        <v>1</v>
      </c>
      <c r="G36" s="91" t="s">
        <v>16</v>
      </c>
      <c r="H36" s="91" t="s">
        <v>190</v>
      </c>
      <c r="I36" s="91" t="s">
        <v>337</v>
      </c>
      <c r="J36">
        <v>0</v>
      </c>
      <c r="K36" s="91" t="s">
        <v>192</v>
      </c>
      <c r="L36" t="b">
        <v>0</v>
      </c>
      <c r="M36" t="b">
        <v>0</v>
      </c>
      <c r="N36" t="b">
        <v>0</v>
      </c>
    </row>
    <row r="37" spans="1:14" x14ac:dyDescent="0.25">
      <c r="A37" s="91" t="s">
        <v>188</v>
      </c>
      <c r="B37" t="s">
        <v>227</v>
      </c>
      <c r="C37" t="s">
        <v>336</v>
      </c>
      <c r="D37">
        <v>7577.61</v>
      </c>
      <c r="E37" s="92">
        <v>44231.773993055554</v>
      </c>
      <c r="F37" t="b">
        <v>1</v>
      </c>
      <c r="G37" s="91" t="s">
        <v>17</v>
      </c>
      <c r="H37" s="91" t="s">
        <v>190</v>
      </c>
      <c r="I37" s="91" t="s">
        <v>337</v>
      </c>
      <c r="J37">
        <v>0</v>
      </c>
      <c r="K37" s="91" t="s">
        <v>192</v>
      </c>
      <c r="L37" t="b">
        <v>0</v>
      </c>
      <c r="M37" t="b">
        <v>0</v>
      </c>
      <c r="N37" t="b">
        <v>0</v>
      </c>
    </row>
    <row r="38" spans="1:14" x14ac:dyDescent="0.25">
      <c r="A38" s="91" t="s">
        <v>188</v>
      </c>
      <c r="B38" t="s">
        <v>228</v>
      </c>
      <c r="C38" t="s">
        <v>336</v>
      </c>
      <c r="D38">
        <v>23131.487499999999</v>
      </c>
      <c r="E38" s="92">
        <v>44231.773993055554</v>
      </c>
      <c r="F38" t="b">
        <v>1</v>
      </c>
      <c r="G38" s="91" t="s">
        <v>18</v>
      </c>
      <c r="H38" s="91" t="s">
        <v>190</v>
      </c>
      <c r="I38" s="91" t="s">
        <v>337</v>
      </c>
      <c r="J38">
        <v>0</v>
      </c>
      <c r="K38" s="91" t="s">
        <v>192</v>
      </c>
      <c r="L38" t="b">
        <v>0</v>
      </c>
      <c r="M38" t="b">
        <v>0</v>
      </c>
      <c r="N38" t="b">
        <v>0</v>
      </c>
    </row>
    <row r="39" spans="1:14" x14ac:dyDescent="0.25">
      <c r="A39" s="91" t="s">
        <v>188</v>
      </c>
      <c r="B39" t="s">
        <v>229</v>
      </c>
      <c r="C39" t="s">
        <v>336</v>
      </c>
      <c r="D39">
        <v>2244.9699999999998</v>
      </c>
      <c r="E39" s="92">
        <v>44231.773993055554</v>
      </c>
      <c r="F39" t="b">
        <v>1</v>
      </c>
      <c r="G39" s="91" t="s">
        <v>19</v>
      </c>
      <c r="H39" s="91" t="s">
        <v>190</v>
      </c>
      <c r="I39" s="91" t="s">
        <v>337</v>
      </c>
      <c r="J39">
        <v>0</v>
      </c>
      <c r="K39" s="91" t="s">
        <v>192</v>
      </c>
      <c r="L39" t="b">
        <v>0</v>
      </c>
      <c r="M39" t="b">
        <v>0</v>
      </c>
      <c r="N39" t="b">
        <v>0</v>
      </c>
    </row>
    <row r="40" spans="1:14" x14ac:dyDescent="0.25">
      <c r="A40" s="91" t="s">
        <v>188</v>
      </c>
      <c r="B40" t="s">
        <v>230</v>
      </c>
      <c r="C40" t="s">
        <v>336</v>
      </c>
      <c r="D40">
        <v>3330.57</v>
      </c>
      <c r="E40" s="92">
        <v>44231.773993055554</v>
      </c>
      <c r="F40" t="b">
        <v>1</v>
      </c>
      <c r="G40" s="91" t="s">
        <v>20</v>
      </c>
      <c r="H40" s="91" t="s">
        <v>190</v>
      </c>
      <c r="I40" s="91" t="s">
        <v>337</v>
      </c>
      <c r="J40">
        <v>0</v>
      </c>
      <c r="K40" s="91" t="s">
        <v>192</v>
      </c>
      <c r="L40" t="b">
        <v>0</v>
      </c>
      <c r="M40" t="b">
        <v>0</v>
      </c>
      <c r="N40" t="b">
        <v>0</v>
      </c>
    </row>
    <row r="41" spans="1:14" x14ac:dyDescent="0.25">
      <c r="A41" s="91" t="s">
        <v>188</v>
      </c>
      <c r="B41" t="s">
        <v>231</v>
      </c>
      <c r="C41" t="s">
        <v>336</v>
      </c>
      <c r="D41">
        <v>110.16</v>
      </c>
      <c r="E41" s="92">
        <v>44231.773993055554</v>
      </c>
      <c r="F41" t="b">
        <v>1</v>
      </c>
      <c r="G41" s="91" t="s">
        <v>21</v>
      </c>
      <c r="H41" s="91" t="s">
        <v>190</v>
      </c>
      <c r="I41" s="91" t="s">
        <v>337</v>
      </c>
      <c r="J41">
        <v>0</v>
      </c>
      <c r="K41" s="91" t="s">
        <v>192</v>
      </c>
      <c r="L41" t="b">
        <v>0</v>
      </c>
      <c r="M41" t="b">
        <v>0</v>
      </c>
      <c r="N41" t="b">
        <v>0</v>
      </c>
    </row>
    <row r="42" spans="1:14" x14ac:dyDescent="0.25">
      <c r="A42" s="91" t="s">
        <v>188</v>
      </c>
      <c r="B42" t="s">
        <v>232</v>
      </c>
      <c r="C42" t="s">
        <v>336</v>
      </c>
      <c r="D42">
        <v>3111.66</v>
      </c>
      <c r="E42" s="92">
        <v>44231.773993055554</v>
      </c>
      <c r="F42" t="b">
        <v>1</v>
      </c>
      <c r="G42" s="91" t="s">
        <v>22</v>
      </c>
      <c r="H42" s="91" t="s">
        <v>190</v>
      </c>
      <c r="I42" s="91" t="s">
        <v>337</v>
      </c>
      <c r="J42">
        <v>0</v>
      </c>
      <c r="K42" s="91" t="s">
        <v>192</v>
      </c>
      <c r="L42" t="b">
        <v>0</v>
      </c>
      <c r="M42" t="b">
        <v>0</v>
      </c>
      <c r="N42" t="b">
        <v>0</v>
      </c>
    </row>
    <row r="43" spans="1:14" x14ac:dyDescent="0.25">
      <c r="A43" s="91" t="s">
        <v>188</v>
      </c>
      <c r="B43" t="s">
        <v>233</v>
      </c>
      <c r="C43" t="s">
        <v>336</v>
      </c>
      <c r="D43">
        <v>8.4700000000000006</v>
      </c>
      <c r="E43" s="92">
        <v>44231.773993055554</v>
      </c>
      <c r="F43" t="b">
        <v>1</v>
      </c>
      <c r="G43" s="91" t="s">
        <v>23</v>
      </c>
      <c r="H43" s="91" t="s">
        <v>190</v>
      </c>
      <c r="I43" s="91" t="s">
        <v>337</v>
      </c>
      <c r="J43">
        <v>0</v>
      </c>
      <c r="K43" s="91" t="s">
        <v>192</v>
      </c>
      <c r="L43" t="b">
        <v>0</v>
      </c>
      <c r="M43" t="b">
        <v>0</v>
      </c>
      <c r="N43" t="b">
        <v>0</v>
      </c>
    </row>
    <row r="44" spans="1:14" x14ac:dyDescent="0.25">
      <c r="A44" s="91" t="s">
        <v>188</v>
      </c>
      <c r="B44" t="s">
        <v>234</v>
      </c>
      <c r="C44" t="s">
        <v>336</v>
      </c>
      <c r="D44">
        <v>33274.667500000003</v>
      </c>
      <c r="E44" s="92">
        <v>44231.774004629631</v>
      </c>
      <c r="F44" t="b">
        <v>1</v>
      </c>
      <c r="G44" s="91" t="s">
        <v>24</v>
      </c>
      <c r="H44" s="91" t="s">
        <v>190</v>
      </c>
      <c r="I44" s="91" t="s">
        <v>337</v>
      </c>
      <c r="J44">
        <v>0</v>
      </c>
      <c r="K44" s="91" t="s">
        <v>192</v>
      </c>
      <c r="L44" t="b">
        <v>0</v>
      </c>
      <c r="M44" t="b">
        <v>0</v>
      </c>
      <c r="N44" t="b">
        <v>0</v>
      </c>
    </row>
    <row r="45" spans="1:14" x14ac:dyDescent="0.25">
      <c r="A45" s="91" t="s">
        <v>188</v>
      </c>
      <c r="B45" t="s">
        <v>235</v>
      </c>
      <c r="C45" t="s">
        <v>336</v>
      </c>
      <c r="D45">
        <v>3263.92</v>
      </c>
      <c r="E45" s="92">
        <v>44231.774004629631</v>
      </c>
      <c r="F45" t="b">
        <v>1</v>
      </c>
      <c r="G45" s="91" t="s">
        <v>25</v>
      </c>
      <c r="H45" s="91" t="s">
        <v>190</v>
      </c>
      <c r="I45" s="91" t="s">
        <v>337</v>
      </c>
      <c r="J45">
        <v>0</v>
      </c>
      <c r="K45" s="91" t="s">
        <v>192</v>
      </c>
      <c r="L45" t="b">
        <v>0</v>
      </c>
      <c r="M45" t="b">
        <v>0</v>
      </c>
      <c r="N45" t="b">
        <v>0</v>
      </c>
    </row>
    <row r="46" spans="1:14" x14ac:dyDescent="0.25">
      <c r="A46" s="91" t="s">
        <v>188</v>
      </c>
      <c r="B46" t="s">
        <v>236</v>
      </c>
      <c r="C46" t="s">
        <v>336</v>
      </c>
      <c r="D46">
        <v>6603.07</v>
      </c>
      <c r="E46" s="92">
        <v>44231.774004629631</v>
      </c>
      <c r="F46" t="b">
        <v>1</v>
      </c>
      <c r="G46" s="91" t="s">
        <v>26</v>
      </c>
      <c r="H46" s="91" t="s">
        <v>190</v>
      </c>
      <c r="I46" s="91" t="s">
        <v>337</v>
      </c>
      <c r="J46">
        <v>0</v>
      </c>
      <c r="K46" s="91" t="s">
        <v>192</v>
      </c>
      <c r="L46" t="b">
        <v>0</v>
      </c>
      <c r="M46" t="b">
        <v>0</v>
      </c>
      <c r="N46" t="b">
        <v>0</v>
      </c>
    </row>
    <row r="47" spans="1:14" x14ac:dyDescent="0.25">
      <c r="A47" s="91" t="s">
        <v>188</v>
      </c>
      <c r="B47" t="s">
        <v>237</v>
      </c>
      <c r="C47" t="s">
        <v>336</v>
      </c>
      <c r="D47">
        <v>1040.99</v>
      </c>
      <c r="E47" s="92">
        <v>44231.774004629631</v>
      </c>
      <c r="F47" t="b">
        <v>1</v>
      </c>
      <c r="G47" s="91" t="s">
        <v>27</v>
      </c>
      <c r="H47" s="91" t="s">
        <v>190</v>
      </c>
      <c r="I47" s="91" t="s">
        <v>337</v>
      </c>
      <c r="J47">
        <v>0</v>
      </c>
      <c r="K47" s="91" t="s">
        <v>192</v>
      </c>
      <c r="L47" t="b">
        <v>0</v>
      </c>
      <c r="M47" t="b">
        <v>0</v>
      </c>
      <c r="N47" t="b">
        <v>0</v>
      </c>
    </row>
    <row r="48" spans="1:14" x14ac:dyDescent="0.25">
      <c r="A48" s="91" t="s">
        <v>188</v>
      </c>
      <c r="B48" t="s">
        <v>238</v>
      </c>
      <c r="C48" t="s">
        <v>336</v>
      </c>
      <c r="D48">
        <v>4253.96</v>
      </c>
      <c r="E48" s="92">
        <v>44231.774004629631</v>
      </c>
      <c r="F48" t="b">
        <v>1</v>
      </c>
      <c r="G48" s="91" t="s">
        <v>28</v>
      </c>
      <c r="H48" s="91" t="s">
        <v>190</v>
      </c>
      <c r="I48" s="91" t="s">
        <v>337</v>
      </c>
      <c r="J48">
        <v>0</v>
      </c>
      <c r="K48" s="91" t="s">
        <v>192</v>
      </c>
      <c r="L48" t="b">
        <v>0</v>
      </c>
      <c r="M48" t="b">
        <v>0</v>
      </c>
      <c r="N48" t="b">
        <v>0</v>
      </c>
    </row>
    <row r="49" spans="1:14" x14ac:dyDescent="0.25">
      <c r="A49" s="91" t="s">
        <v>188</v>
      </c>
      <c r="B49" t="s">
        <v>316</v>
      </c>
      <c r="C49" t="s">
        <v>336</v>
      </c>
      <c r="D49">
        <v>352.74</v>
      </c>
      <c r="E49" s="92">
        <v>44231.774004629631</v>
      </c>
      <c r="F49" t="b">
        <v>1</v>
      </c>
      <c r="G49" s="91" t="s">
        <v>29</v>
      </c>
      <c r="H49" s="91" t="s">
        <v>190</v>
      </c>
      <c r="I49" s="91" t="s">
        <v>337</v>
      </c>
      <c r="J49">
        <v>0</v>
      </c>
      <c r="K49" s="91" t="s">
        <v>192</v>
      </c>
      <c r="L49" t="b">
        <v>0</v>
      </c>
      <c r="M49" t="b">
        <v>0</v>
      </c>
      <c r="N49" t="b">
        <v>0</v>
      </c>
    </row>
    <row r="50" spans="1:14" x14ac:dyDescent="0.25">
      <c r="A50" s="91" t="s">
        <v>188</v>
      </c>
      <c r="B50" t="s">
        <v>239</v>
      </c>
      <c r="C50" t="s">
        <v>336</v>
      </c>
      <c r="D50">
        <v>8243.9500000000007</v>
      </c>
      <c r="E50" s="92">
        <v>44231.774004629631</v>
      </c>
      <c r="F50" t="b">
        <v>1</v>
      </c>
      <c r="G50" s="91" t="s">
        <v>30</v>
      </c>
      <c r="H50" s="91" t="s">
        <v>190</v>
      </c>
      <c r="I50" s="91" t="s">
        <v>337</v>
      </c>
      <c r="J50">
        <v>0</v>
      </c>
      <c r="K50" s="91" t="s">
        <v>192</v>
      </c>
      <c r="L50" t="b">
        <v>0</v>
      </c>
      <c r="M50" t="b">
        <v>0</v>
      </c>
      <c r="N50" t="b">
        <v>0</v>
      </c>
    </row>
    <row r="51" spans="1:14" x14ac:dyDescent="0.25">
      <c r="A51" s="91" t="s">
        <v>188</v>
      </c>
      <c r="B51" t="s">
        <v>240</v>
      </c>
      <c r="C51" t="s">
        <v>336</v>
      </c>
      <c r="D51">
        <v>3443.76</v>
      </c>
      <c r="E51" s="92">
        <v>44231.774004629631</v>
      </c>
      <c r="F51" t="b">
        <v>1</v>
      </c>
      <c r="G51" s="91" t="s">
        <v>31</v>
      </c>
      <c r="H51" s="91" t="s">
        <v>190</v>
      </c>
      <c r="I51" s="91" t="s">
        <v>337</v>
      </c>
      <c r="J51">
        <v>0</v>
      </c>
      <c r="K51" s="91" t="s">
        <v>192</v>
      </c>
      <c r="L51" t="b">
        <v>0</v>
      </c>
      <c r="M51" t="b">
        <v>0</v>
      </c>
      <c r="N51" t="b">
        <v>0</v>
      </c>
    </row>
    <row r="52" spans="1:14" x14ac:dyDescent="0.25">
      <c r="A52" s="91" t="s">
        <v>188</v>
      </c>
      <c r="B52" t="s">
        <v>241</v>
      </c>
      <c r="C52" t="s">
        <v>336</v>
      </c>
      <c r="D52">
        <v>408.65</v>
      </c>
      <c r="E52" s="92">
        <v>44231.774004629631</v>
      </c>
      <c r="F52" t="b">
        <v>1</v>
      </c>
      <c r="G52" s="91" t="s">
        <v>32</v>
      </c>
      <c r="H52" s="91" t="s">
        <v>190</v>
      </c>
      <c r="I52" s="91" t="s">
        <v>337</v>
      </c>
      <c r="J52">
        <v>0</v>
      </c>
      <c r="K52" s="91" t="s">
        <v>192</v>
      </c>
      <c r="L52" t="b">
        <v>0</v>
      </c>
      <c r="M52" t="b">
        <v>0</v>
      </c>
      <c r="N52" t="b">
        <v>0</v>
      </c>
    </row>
    <row r="53" spans="1:14" x14ac:dyDescent="0.25">
      <c r="A53" s="91" t="s">
        <v>188</v>
      </c>
      <c r="B53" t="s">
        <v>242</v>
      </c>
      <c r="C53" t="s">
        <v>336</v>
      </c>
      <c r="D53">
        <v>2312.86</v>
      </c>
      <c r="E53" s="92">
        <v>44231.774004629631</v>
      </c>
      <c r="F53" t="b">
        <v>1</v>
      </c>
      <c r="G53" s="91" t="s">
        <v>33</v>
      </c>
      <c r="H53" s="91" t="s">
        <v>190</v>
      </c>
      <c r="I53" s="91" t="s">
        <v>337</v>
      </c>
      <c r="J53">
        <v>0</v>
      </c>
      <c r="K53" s="91" t="s">
        <v>192</v>
      </c>
      <c r="L53" t="b">
        <v>0</v>
      </c>
      <c r="M53" t="b">
        <v>0</v>
      </c>
      <c r="N53" t="b">
        <v>0</v>
      </c>
    </row>
    <row r="54" spans="1:14" x14ac:dyDescent="0.25">
      <c r="A54" s="91" t="s">
        <v>188</v>
      </c>
      <c r="B54" t="s">
        <v>243</v>
      </c>
      <c r="C54" t="s">
        <v>336</v>
      </c>
      <c r="D54">
        <v>161.41</v>
      </c>
      <c r="E54" s="92">
        <v>44231.774004629631</v>
      </c>
      <c r="F54" t="b">
        <v>1</v>
      </c>
      <c r="G54" s="91" t="s">
        <v>34</v>
      </c>
      <c r="H54" s="91" t="s">
        <v>190</v>
      </c>
      <c r="I54" s="91" t="s">
        <v>337</v>
      </c>
      <c r="J54">
        <v>0</v>
      </c>
      <c r="K54" s="91" t="s">
        <v>192</v>
      </c>
      <c r="L54" t="b">
        <v>0</v>
      </c>
      <c r="M54" t="b">
        <v>0</v>
      </c>
      <c r="N54" t="b">
        <v>0</v>
      </c>
    </row>
    <row r="55" spans="1:14" x14ac:dyDescent="0.25">
      <c r="A55" s="91" t="s">
        <v>188</v>
      </c>
      <c r="B55" t="s">
        <v>244</v>
      </c>
      <c r="C55" t="s">
        <v>336</v>
      </c>
      <c r="D55">
        <v>58411.4375</v>
      </c>
      <c r="E55" s="92">
        <v>44231.774004629631</v>
      </c>
      <c r="F55" t="b">
        <v>1</v>
      </c>
      <c r="G55" s="91" t="s">
        <v>35</v>
      </c>
      <c r="H55" s="91" t="s">
        <v>190</v>
      </c>
      <c r="I55" s="91" t="s">
        <v>337</v>
      </c>
      <c r="J55">
        <v>0</v>
      </c>
      <c r="K55" s="91" t="s">
        <v>192</v>
      </c>
      <c r="L55" t="b">
        <v>0</v>
      </c>
      <c r="M55" t="b">
        <v>0</v>
      </c>
      <c r="N55" t="b">
        <v>0</v>
      </c>
    </row>
    <row r="56" spans="1:14" x14ac:dyDescent="0.25">
      <c r="A56" s="91" t="s">
        <v>188</v>
      </c>
      <c r="B56" t="s">
        <v>245</v>
      </c>
      <c r="C56" t="s">
        <v>336</v>
      </c>
      <c r="D56">
        <v>4.92</v>
      </c>
      <c r="E56" s="92">
        <v>44231.774004629631</v>
      </c>
      <c r="F56" t="b">
        <v>1</v>
      </c>
      <c r="G56" s="91" t="s">
        <v>9</v>
      </c>
      <c r="H56" s="91" t="s">
        <v>190</v>
      </c>
      <c r="I56" s="91" t="s">
        <v>337</v>
      </c>
      <c r="J56">
        <v>0</v>
      </c>
      <c r="K56" s="91" t="s">
        <v>192</v>
      </c>
      <c r="L56" t="b">
        <v>0</v>
      </c>
      <c r="M56" t="b">
        <v>0</v>
      </c>
      <c r="N56" t="b">
        <v>0</v>
      </c>
    </row>
    <row r="57" spans="1:14" x14ac:dyDescent="0.25">
      <c r="A57" s="91" t="s">
        <v>188</v>
      </c>
      <c r="B57" t="s">
        <v>317</v>
      </c>
      <c r="C57" t="s">
        <v>336</v>
      </c>
      <c r="E57" s="92">
        <v>44231.774004629631</v>
      </c>
      <c r="F57" t="b">
        <v>1</v>
      </c>
      <c r="G57" s="91" t="s">
        <v>155</v>
      </c>
      <c r="H57" s="91" t="s">
        <v>190</v>
      </c>
      <c r="I57" s="91" t="s">
        <v>337</v>
      </c>
      <c r="J57">
        <v>0</v>
      </c>
      <c r="K57" s="91" t="s">
        <v>192</v>
      </c>
      <c r="L57" t="b">
        <v>0</v>
      </c>
      <c r="M57" t="b">
        <v>0</v>
      </c>
      <c r="N57" t="b">
        <v>0</v>
      </c>
    </row>
    <row r="58" spans="1:14" x14ac:dyDescent="0.25">
      <c r="A58" s="91" t="s">
        <v>188</v>
      </c>
      <c r="B58" t="s">
        <v>318</v>
      </c>
      <c r="C58" t="s">
        <v>336</v>
      </c>
      <c r="D58">
        <v>5.52</v>
      </c>
      <c r="E58" s="92">
        <v>44231.774004629631</v>
      </c>
      <c r="F58" t="b">
        <v>1</v>
      </c>
      <c r="G58" s="91" t="s">
        <v>10</v>
      </c>
      <c r="H58" s="91" t="s">
        <v>190</v>
      </c>
      <c r="I58" s="91" t="s">
        <v>337</v>
      </c>
      <c r="J58">
        <v>0</v>
      </c>
      <c r="K58" s="91" t="s">
        <v>192</v>
      </c>
      <c r="L58" t="b">
        <v>0</v>
      </c>
      <c r="M58" t="b">
        <v>0</v>
      </c>
      <c r="N58" t="b">
        <v>0</v>
      </c>
    </row>
    <row r="59" spans="1:14" x14ac:dyDescent="0.25">
      <c r="A59" s="91" t="s">
        <v>188</v>
      </c>
      <c r="B59" t="s">
        <v>319</v>
      </c>
      <c r="C59" t="s">
        <v>336</v>
      </c>
      <c r="E59" s="92">
        <v>44231.774004629631</v>
      </c>
      <c r="F59" t="b">
        <v>1</v>
      </c>
      <c r="G59" s="91" t="s">
        <v>156</v>
      </c>
      <c r="H59" s="91" t="s">
        <v>190</v>
      </c>
      <c r="I59" s="91" t="s">
        <v>337</v>
      </c>
      <c r="J59">
        <v>0</v>
      </c>
      <c r="K59" s="91" t="s">
        <v>192</v>
      </c>
      <c r="L59" t="b">
        <v>0</v>
      </c>
      <c r="M59" t="b">
        <v>0</v>
      </c>
      <c r="N59" t="b">
        <v>0</v>
      </c>
    </row>
    <row r="60" spans="1:14" x14ac:dyDescent="0.25">
      <c r="A60" s="91" t="s">
        <v>188</v>
      </c>
      <c r="B60" t="s">
        <v>320</v>
      </c>
      <c r="C60" t="s">
        <v>336</v>
      </c>
      <c r="D60">
        <v>6.24</v>
      </c>
      <c r="E60" s="92">
        <v>44231.774004629631</v>
      </c>
      <c r="F60" t="b">
        <v>1</v>
      </c>
      <c r="G60" s="91" t="s">
        <v>11</v>
      </c>
      <c r="H60" s="91" t="s">
        <v>190</v>
      </c>
      <c r="I60" s="91" t="s">
        <v>337</v>
      </c>
      <c r="J60">
        <v>0</v>
      </c>
      <c r="K60" s="91" t="s">
        <v>192</v>
      </c>
      <c r="L60" t="b">
        <v>0</v>
      </c>
      <c r="M60" t="b">
        <v>0</v>
      </c>
      <c r="N60" t="b">
        <v>0</v>
      </c>
    </row>
    <row r="61" spans="1:14" x14ac:dyDescent="0.25">
      <c r="A61" s="91" t="s">
        <v>188</v>
      </c>
      <c r="B61" t="s">
        <v>321</v>
      </c>
      <c r="C61" t="s">
        <v>336</v>
      </c>
      <c r="E61" s="92">
        <v>44231.774004629631</v>
      </c>
      <c r="F61" t="b">
        <v>1</v>
      </c>
      <c r="G61" s="91" t="s">
        <v>154</v>
      </c>
      <c r="H61" s="91" t="s">
        <v>190</v>
      </c>
      <c r="I61" s="91" t="s">
        <v>337</v>
      </c>
      <c r="J61">
        <v>0</v>
      </c>
      <c r="K61" s="91" t="s">
        <v>192</v>
      </c>
      <c r="L61" t="b">
        <v>0</v>
      </c>
      <c r="M61" t="b">
        <v>0</v>
      </c>
      <c r="N61" t="b">
        <v>0</v>
      </c>
    </row>
    <row r="62" spans="1:14" x14ac:dyDescent="0.25">
      <c r="A62" s="91" t="s">
        <v>188</v>
      </c>
      <c r="B62" t="s">
        <v>322</v>
      </c>
      <c r="C62" t="s">
        <v>336</v>
      </c>
      <c r="D62">
        <v>6.36</v>
      </c>
      <c r="E62" s="92">
        <v>44231.774004629631</v>
      </c>
      <c r="F62" t="b">
        <v>1</v>
      </c>
      <c r="G62" s="91" t="s">
        <v>12</v>
      </c>
      <c r="H62" s="91" t="s">
        <v>190</v>
      </c>
      <c r="I62" s="91" t="s">
        <v>337</v>
      </c>
      <c r="J62">
        <v>0</v>
      </c>
      <c r="K62" s="91" t="s">
        <v>192</v>
      </c>
      <c r="L62" t="b">
        <v>0</v>
      </c>
      <c r="M62" t="b">
        <v>0</v>
      </c>
      <c r="N62" t="b">
        <v>0</v>
      </c>
    </row>
    <row r="63" spans="1:14" x14ac:dyDescent="0.25">
      <c r="A63" s="91" t="s">
        <v>188</v>
      </c>
      <c r="B63" t="s">
        <v>323</v>
      </c>
      <c r="C63" t="s">
        <v>336</v>
      </c>
      <c r="E63" s="92">
        <v>44231.774004629631</v>
      </c>
      <c r="F63" t="b">
        <v>1</v>
      </c>
      <c r="G63" s="91" t="s">
        <v>157</v>
      </c>
      <c r="H63" s="91" t="s">
        <v>190</v>
      </c>
      <c r="I63" s="91" t="s">
        <v>337</v>
      </c>
      <c r="J63">
        <v>0</v>
      </c>
      <c r="K63" s="91" t="s">
        <v>192</v>
      </c>
      <c r="L63" t="b">
        <v>0</v>
      </c>
      <c r="M63" t="b">
        <v>0</v>
      </c>
      <c r="N63" t="b">
        <v>0</v>
      </c>
    </row>
    <row r="64" spans="1:14" x14ac:dyDescent="0.25">
      <c r="A64" s="91" t="s">
        <v>188</v>
      </c>
      <c r="B64" t="s">
        <v>324</v>
      </c>
      <c r="C64" t="s">
        <v>325</v>
      </c>
      <c r="D64">
        <v>3457.317464008273</v>
      </c>
      <c r="E64" s="92">
        <v>44231.774004629631</v>
      </c>
      <c r="F64" t="b">
        <v>1</v>
      </c>
      <c r="G64" s="91" t="s">
        <v>303</v>
      </c>
      <c r="H64" s="91" t="s">
        <v>326</v>
      </c>
      <c r="I64" s="91" t="s">
        <v>191</v>
      </c>
      <c r="J64">
        <v>0</v>
      </c>
      <c r="K64" s="91" t="s">
        <v>192</v>
      </c>
      <c r="L64" t="b">
        <v>0</v>
      </c>
      <c r="M64" t="b">
        <v>0</v>
      </c>
      <c r="N64" t="b">
        <v>0</v>
      </c>
    </row>
    <row r="65" spans="1:14" x14ac:dyDescent="0.25">
      <c r="A65" s="91" t="s">
        <v>188</v>
      </c>
      <c r="B65" t="s">
        <v>327</v>
      </c>
      <c r="C65" t="s">
        <v>325</v>
      </c>
      <c r="D65">
        <v>2657.0280359917274</v>
      </c>
      <c r="E65" s="92">
        <v>44231.774004629631</v>
      </c>
      <c r="F65" t="b">
        <v>1</v>
      </c>
      <c r="G65" s="91" t="s">
        <v>304</v>
      </c>
      <c r="H65" s="91" t="s">
        <v>326</v>
      </c>
      <c r="I65" s="91" t="s">
        <v>191</v>
      </c>
      <c r="J65">
        <v>0</v>
      </c>
      <c r="K65" s="91" t="s">
        <v>192</v>
      </c>
      <c r="L65" t="b">
        <v>0</v>
      </c>
      <c r="M65" t="b">
        <v>0</v>
      </c>
      <c r="N65" t="b">
        <v>0</v>
      </c>
    </row>
    <row r="66" spans="1:14" x14ac:dyDescent="0.25">
      <c r="A66" s="91" t="s">
        <v>188</v>
      </c>
      <c r="B66" t="s">
        <v>328</v>
      </c>
      <c r="C66" t="s">
        <v>325</v>
      </c>
      <c r="D66">
        <v>30733.954310414865</v>
      </c>
      <c r="E66" s="92">
        <v>44231.774004629631</v>
      </c>
      <c r="F66" t="b">
        <v>1</v>
      </c>
      <c r="G66" s="91" t="s">
        <v>310</v>
      </c>
      <c r="H66" s="91" t="s">
        <v>326</v>
      </c>
      <c r="I66" s="91" t="s">
        <v>191</v>
      </c>
      <c r="J66">
        <v>0</v>
      </c>
      <c r="K66" s="91" t="s">
        <v>192</v>
      </c>
      <c r="L66" t="b">
        <v>0</v>
      </c>
      <c r="M66" t="b">
        <v>0</v>
      </c>
      <c r="N66" t="b">
        <v>0</v>
      </c>
    </row>
    <row r="67" spans="1:14" x14ac:dyDescent="0.25">
      <c r="A67" s="91" t="s">
        <v>188</v>
      </c>
      <c r="B67" t="s">
        <v>329</v>
      </c>
      <c r="C67" t="s">
        <v>325</v>
      </c>
      <c r="D67">
        <v>17940.689972974</v>
      </c>
      <c r="E67" s="92">
        <v>44231.774004629631</v>
      </c>
      <c r="F67" t="b">
        <v>1</v>
      </c>
      <c r="G67" s="91" t="s">
        <v>311</v>
      </c>
      <c r="H67" s="91" t="s">
        <v>326</v>
      </c>
      <c r="I67" s="91" t="s">
        <v>191</v>
      </c>
      <c r="J67">
        <v>0</v>
      </c>
      <c r="K67" s="91" t="s">
        <v>192</v>
      </c>
      <c r="L67" t="b">
        <v>0</v>
      </c>
      <c r="M67" t="b">
        <v>0</v>
      </c>
      <c r="N67" t="b">
        <v>0</v>
      </c>
    </row>
    <row r="68" spans="1:14" x14ac:dyDescent="0.25">
      <c r="A68" s="91" t="s">
        <v>188</v>
      </c>
      <c r="B68" t="s">
        <v>330</v>
      </c>
      <c r="C68" t="s">
        <v>325</v>
      </c>
      <c r="D68">
        <v>12793.264337440865</v>
      </c>
      <c r="E68" s="92">
        <v>44231.774004629631</v>
      </c>
      <c r="F68" t="b">
        <v>1</v>
      </c>
      <c r="G68" s="91" t="s">
        <v>312</v>
      </c>
      <c r="H68" s="91" t="s">
        <v>326</v>
      </c>
      <c r="I68" s="91" t="s">
        <v>191</v>
      </c>
      <c r="J68">
        <v>0</v>
      </c>
      <c r="K68" s="91" t="s">
        <v>192</v>
      </c>
      <c r="L68" t="b">
        <v>0</v>
      </c>
      <c r="M68" t="b">
        <v>0</v>
      </c>
      <c r="N68" t="b">
        <v>0</v>
      </c>
    </row>
    <row r="69" spans="1:14" x14ac:dyDescent="0.25">
      <c r="A69" s="91" t="s">
        <v>188</v>
      </c>
      <c r="B69" t="s">
        <v>331</v>
      </c>
      <c r="C69" t="s">
        <v>325</v>
      </c>
      <c r="D69">
        <v>4358.3605202462541</v>
      </c>
      <c r="E69" s="92">
        <v>44231.774004629631</v>
      </c>
      <c r="F69" t="b">
        <v>1</v>
      </c>
      <c r="G69" s="91" t="s">
        <v>313</v>
      </c>
      <c r="H69" s="91" t="s">
        <v>326</v>
      </c>
      <c r="I69" s="91" t="s">
        <v>191</v>
      </c>
      <c r="J69">
        <v>0</v>
      </c>
      <c r="K69" s="91" t="s">
        <v>192</v>
      </c>
      <c r="L69" t="b">
        <v>0</v>
      </c>
      <c r="M69" t="b">
        <v>0</v>
      </c>
      <c r="N69" t="b">
        <v>0</v>
      </c>
    </row>
    <row r="70" spans="1:14" x14ac:dyDescent="0.25">
      <c r="A70" s="91" t="s">
        <v>188</v>
      </c>
      <c r="B70" t="s">
        <v>332</v>
      </c>
      <c r="C70" t="s">
        <v>325</v>
      </c>
      <c r="D70">
        <v>14.47016933888805</v>
      </c>
      <c r="E70" s="92">
        <v>44231.774004629631</v>
      </c>
      <c r="F70" t="b">
        <v>1</v>
      </c>
      <c r="G70" s="91" t="s">
        <v>314</v>
      </c>
      <c r="H70" s="91" t="s">
        <v>326</v>
      </c>
      <c r="I70" s="91" t="s">
        <v>191</v>
      </c>
      <c r="J70">
        <v>0</v>
      </c>
      <c r="K70" s="91" t="s">
        <v>192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B1:N69"/>
  <sheetViews>
    <sheetView showGridLines="0" zoomScaleNormal="100" workbookViewId="0">
      <selection activeCell="C27" sqref="C27"/>
    </sheetView>
  </sheetViews>
  <sheetFormatPr baseColWidth="10" defaultColWidth="11.42578125" defaultRowHeight="15" x14ac:dyDescent="0.25"/>
  <cols>
    <col min="1" max="1" width="11.42578125" style="2"/>
    <col min="2" max="2" width="23" style="2" customWidth="1"/>
    <col min="3" max="3" width="9.85546875" style="2" customWidth="1"/>
    <col min="4" max="4" width="3.28515625" style="2" customWidth="1"/>
    <col min="5" max="5" width="9" style="2" customWidth="1"/>
    <col min="6" max="6" width="14.42578125" style="98" customWidth="1"/>
    <col min="7" max="8" width="11.42578125" style="98"/>
    <col min="9" max="9" width="11.42578125" style="142"/>
    <col min="10" max="11" width="11.42578125" style="98"/>
    <col min="12" max="16384" width="11.42578125" style="2"/>
  </cols>
  <sheetData>
    <row r="1" spans="2:13" ht="14.1" customHeight="1" x14ac:dyDescent="0.25">
      <c r="C1" s="54">
        <v>44197</v>
      </c>
      <c r="E1" s="54">
        <v>44166</v>
      </c>
      <c r="I1" s="99"/>
      <c r="J1" s="100"/>
    </row>
    <row r="2" spans="2:13" ht="14.1" customHeight="1" x14ac:dyDescent="0.25">
      <c r="F2" s="101"/>
      <c r="G2" s="102" t="s">
        <v>246</v>
      </c>
      <c r="I2" s="99" t="s">
        <v>247</v>
      </c>
      <c r="J2" s="100"/>
    </row>
    <row r="3" spans="2:13" s="109" customFormat="1" ht="14.1" customHeight="1" x14ac:dyDescent="0.4">
      <c r="B3" s="103" t="s">
        <v>248</v>
      </c>
      <c r="C3" s="104"/>
      <c r="D3" s="104"/>
      <c r="E3" s="105"/>
      <c r="F3" s="106"/>
      <c r="G3" s="107"/>
      <c r="H3" s="107"/>
      <c r="I3" s="99"/>
      <c r="J3" s="108"/>
      <c r="K3" s="107"/>
    </row>
    <row r="4" spans="2:13" s="111" customFormat="1" ht="14.1" customHeight="1" x14ac:dyDescent="0.4">
      <c r="B4" s="110" t="s">
        <v>249</v>
      </c>
      <c r="C4" s="104"/>
      <c r="D4" s="104"/>
      <c r="E4" s="105"/>
      <c r="F4" s="106"/>
      <c r="G4" s="107"/>
      <c r="H4" s="98"/>
      <c r="I4" s="99"/>
      <c r="J4" s="100"/>
      <c r="K4" s="98"/>
    </row>
    <row r="5" spans="2:13" s="111" customFormat="1" ht="14.1" customHeight="1" x14ac:dyDescent="0.35">
      <c r="B5" s="112" t="s">
        <v>250</v>
      </c>
      <c r="C5" s="113"/>
      <c r="D5" s="113"/>
      <c r="E5" s="113"/>
      <c r="F5" s="114"/>
      <c r="G5" s="98"/>
      <c r="H5" s="98"/>
      <c r="I5" s="99"/>
      <c r="J5" s="100"/>
      <c r="K5" s="98"/>
    </row>
    <row r="6" spans="2:13" s="111" customFormat="1" ht="14.1" customHeight="1" x14ac:dyDescent="0.35">
      <c r="B6" s="112" t="s">
        <v>251</v>
      </c>
      <c r="C6" s="115">
        <f>VLOOKUP(Tablas!C$1,'Base gráficos 1'!$A$93:$BQ$493,7,FALSE)/100</f>
        <v>0.19320000000000001</v>
      </c>
      <c r="D6" s="116"/>
      <c r="E6" s="115">
        <f>VLOOKUP(Tablas!E$1,'Base gráficos 1'!$A$93:$BQ$493,7)/100</f>
        <v>0.19409999999999999</v>
      </c>
      <c r="F6" s="117">
        <f>C6-E6</f>
        <v>-8.9999999999998415E-4</v>
      </c>
      <c r="G6" s="118">
        <f>(C6-E6)*100</f>
        <v>-8.9999999999998415E-2</v>
      </c>
      <c r="H6" s="98"/>
      <c r="I6" s="99">
        <v>20</v>
      </c>
      <c r="J6" s="100">
        <v>50</v>
      </c>
      <c r="K6" s="116"/>
      <c r="L6" s="119" t="s">
        <v>252</v>
      </c>
      <c r="M6" s="119" t="s">
        <v>253</v>
      </c>
    </row>
    <row r="7" spans="2:13" s="111" customFormat="1" ht="14.1" customHeight="1" x14ac:dyDescent="0.35">
      <c r="B7" s="112" t="s">
        <v>254</v>
      </c>
      <c r="C7" s="115">
        <f>VLOOKUP(Tablas!C$1,'Base gráficos 1'!$A$93:$BQ$493,12,FALSE)/100</f>
        <v>5.5399999999999998E-2</v>
      </c>
      <c r="D7" s="116"/>
      <c r="E7" s="115">
        <f>VLOOKUP(Tablas!E$1,'Base gráficos 1'!$A$93:$BQ$493,12)/100</f>
        <v>4.9800000000000004E-2</v>
      </c>
      <c r="F7" s="117">
        <f>C7-E7</f>
        <v>5.5999999999999939E-3</v>
      </c>
      <c r="G7" s="118">
        <f>(C7-E7)*100</f>
        <v>0.55999999999999939</v>
      </c>
      <c r="H7" s="98"/>
      <c r="I7" s="99">
        <v>18</v>
      </c>
      <c r="J7" s="100">
        <v>30</v>
      </c>
      <c r="K7" s="98"/>
      <c r="L7" s="119" t="s">
        <v>255</v>
      </c>
      <c r="M7" s="119" t="s">
        <v>256</v>
      </c>
    </row>
    <row r="8" spans="2:13" s="111" customFormat="1" ht="14.1" customHeight="1" x14ac:dyDescent="0.35">
      <c r="B8" s="112" t="s">
        <v>257</v>
      </c>
      <c r="C8" s="115">
        <f>VLOOKUP(Tablas!C$1,'Base gráficos 1'!$A$93:$BQ$493,16,FALSE)/100</f>
        <v>1.8600000000000002E-2</v>
      </c>
      <c r="D8" s="116"/>
      <c r="E8" s="115">
        <f>VLOOKUP(Tablas!E$1,'Base gráficos 1'!$A$93:$BQ$493,16)/100</f>
        <v>2.4399999999999998E-2</v>
      </c>
      <c r="F8" s="117">
        <f>C8-E8</f>
        <v>-5.7999999999999961E-3</v>
      </c>
      <c r="G8" s="118">
        <f>(C8-E8)*100</f>
        <v>-0.57999999999999963</v>
      </c>
      <c r="H8" s="98"/>
      <c r="I8" s="99">
        <v>18</v>
      </c>
      <c r="J8" s="100">
        <v>30</v>
      </c>
      <c r="K8" s="98"/>
      <c r="L8" s="119" t="s">
        <v>255</v>
      </c>
      <c r="M8" s="119" t="s">
        <v>256</v>
      </c>
    </row>
    <row r="9" spans="2:13" ht="14.1" customHeight="1" x14ac:dyDescent="0.35">
      <c r="B9" s="112" t="s">
        <v>258</v>
      </c>
      <c r="C9" s="115">
        <f>VLOOKUP(Tablas!C$1,'Base gráficos 1'!$A$93:$BQ$493,19,FALSE)/100</f>
        <v>2.3399999999999997E-2</v>
      </c>
      <c r="D9" s="116"/>
      <c r="E9" s="115">
        <f>VLOOKUP(Tablas!E$1,'Base gráficos 1'!$A$93:$BQ$493,19)/100</f>
        <v>2.3900000000000001E-2</v>
      </c>
      <c r="F9" s="117">
        <f>C9-E9</f>
        <v>-5.0000000000000391E-4</v>
      </c>
      <c r="G9" s="118">
        <f>(C9-E9)*100</f>
        <v>-5.0000000000000391E-2</v>
      </c>
      <c r="I9" s="99">
        <v>10</v>
      </c>
      <c r="J9" s="100">
        <v>20</v>
      </c>
      <c r="L9" s="111"/>
    </row>
    <row r="10" spans="2:13" ht="3.75" customHeight="1" x14ac:dyDescent="0.25">
      <c r="C10" s="120"/>
      <c r="D10" s="120"/>
      <c r="E10" s="121"/>
      <c r="F10" s="122"/>
      <c r="I10" s="99"/>
      <c r="J10" s="100"/>
    </row>
    <row r="11" spans="2:13" ht="3" customHeight="1" x14ac:dyDescent="0.25">
      <c r="C11" s="120"/>
      <c r="D11" s="120"/>
      <c r="E11" s="123"/>
      <c r="F11" s="114"/>
      <c r="I11" s="99"/>
      <c r="J11" s="100"/>
    </row>
    <row r="12" spans="2:13" s="109" customFormat="1" ht="14.1" customHeight="1" x14ac:dyDescent="0.3">
      <c r="B12" s="2"/>
      <c r="C12" s="120"/>
      <c r="D12" s="120"/>
      <c r="E12" s="124"/>
      <c r="F12" s="101"/>
      <c r="G12" s="102" t="s">
        <v>246</v>
      </c>
      <c r="H12" s="107"/>
      <c r="I12" s="99"/>
      <c r="J12" s="108"/>
      <c r="K12" s="107"/>
    </row>
    <row r="13" spans="2:13" s="109" customFormat="1" ht="15" customHeight="1" x14ac:dyDescent="0.4">
      <c r="B13" s="103" t="s">
        <v>302</v>
      </c>
      <c r="C13" s="125"/>
      <c r="D13" s="125"/>
      <c r="E13" s="126"/>
      <c r="F13" s="106"/>
      <c r="G13" s="107"/>
      <c r="H13" s="107"/>
      <c r="I13" s="99"/>
      <c r="J13" s="108"/>
      <c r="K13" s="107"/>
    </row>
    <row r="14" spans="2:13" s="111" customFormat="1" ht="15" customHeight="1" x14ac:dyDescent="0.4">
      <c r="B14" s="110" t="s">
        <v>259</v>
      </c>
      <c r="C14" s="127"/>
      <c r="D14" s="127"/>
      <c r="E14" s="126"/>
      <c r="F14" s="106"/>
      <c r="G14" s="107"/>
      <c r="H14" s="98"/>
      <c r="I14" s="99"/>
      <c r="J14" s="100"/>
      <c r="K14" s="98"/>
    </row>
    <row r="15" spans="2:13" s="111" customFormat="1" ht="14.1" customHeight="1" x14ac:dyDescent="0.35">
      <c r="B15" s="112" t="s">
        <v>260</v>
      </c>
      <c r="C15" s="128"/>
      <c r="D15" s="128"/>
      <c r="E15" s="123"/>
      <c r="F15" s="114"/>
      <c r="G15" s="98"/>
      <c r="H15" s="129"/>
      <c r="I15" s="99"/>
      <c r="J15" s="100"/>
      <c r="K15" s="98"/>
    </row>
    <row r="16" spans="2:13" s="111" customFormat="1" ht="14.1" customHeight="1" x14ac:dyDescent="0.35">
      <c r="B16" s="112" t="s">
        <v>261</v>
      </c>
      <c r="C16" s="115">
        <f>VLOOKUP(Tablas!C$1,'Base gráficos 1'!$A$93:$BQ$493,3,FALSE)/100</f>
        <v>-0.14421974883828881</v>
      </c>
      <c r="D16" s="116"/>
      <c r="E16" s="115">
        <f>VLOOKUP(Tablas!E$1,'Base gráficos 1'!$A$93:$BQ$493,3)/100</f>
        <v>-0.14115422731733801</v>
      </c>
      <c r="F16" s="130">
        <f>-(C16/E16*100-100)</f>
        <v>-2.1717532511860185</v>
      </c>
      <c r="G16" s="118">
        <f>(C16-E16)*100</f>
        <v>-0.3065521520950798</v>
      </c>
      <c r="H16" s="98"/>
      <c r="I16" s="99">
        <v>13</v>
      </c>
      <c r="J16" s="100">
        <v>70</v>
      </c>
      <c r="K16" s="98"/>
      <c r="L16" s="119" t="s">
        <v>256</v>
      </c>
    </row>
    <row r="17" spans="2:11" s="111" customFormat="1" ht="14.1" customHeight="1" x14ac:dyDescent="0.35">
      <c r="B17" s="112" t="s">
        <v>262</v>
      </c>
      <c r="C17" s="115">
        <f>VLOOKUP(Tablas!C$1,'Base gráficos 1'!$A$93:$BQ$493,2,FALSE)/100</f>
        <v>6.2012104409346736E-2</v>
      </c>
      <c r="D17" s="116"/>
      <c r="E17" s="115">
        <f>VLOOKUP(Tablas!E$1,'Base gráficos 1'!$A$93:$BQ$493,2)/100</f>
        <v>5.8455990732806384E-2</v>
      </c>
      <c r="F17" s="130">
        <f>C17/E17*100-100</f>
        <v>6.0834033124078246</v>
      </c>
      <c r="G17" s="118">
        <f>(C17-E17)*100</f>
        <v>0.35561136765403512</v>
      </c>
      <c r="H17" s="98"/>
      <c r="I17" s="99">
        <v>20</v>
      </c>
      <c r="J17" s="100">
        <v>70</v>
      </c>
      <c r="K17" s="98"/>
    </row>
    <row r="18" spans="2:11" s="111" customFormat="1" ht="14.1" customHeight="1" x14ac:dyDescent="0.35">
      <c r="B18" s="112" t="s">
        <v>263</v>
      </c>
      <c r="C18" s="115">
        <f>VLOOKUP(Tablas!C$1,'Base gráficos 1'!$A$93:$BQ$493,5,FALSE)/100</f>
        <v>-0.28187870292823985</v>
      </c>
      <c r="D18" s="116"/>
      <c r="E18" s="115">
        <f>VLOOKUP(Tablas!E$1,'Base gráficos 1'!$A$93:$BQ$493,5)/100</f>
        <v>-0.27758989563190439</v>
      </c>
      <c r="F18" s="130">
        <f>-(C18/E18*100-100)</f>
        <v>-1.5450156377531101</v>
      </c>
      <c r="G18" s="118">
        <f>(C18-E18)*100</f>
        <v>-0.42888072963354618</v>
      </c>
      <c r="H18" s="98"/>
      <c r="I18" s="99">
        <v>20</v>
      </c>
      <c r="J18" s="100">
        <v>70</v>
      </c>
      <c r="K18" s="98"/>
    </row>
    <row r="19" spans="2:11" s="111" customFormat="1" ht="14.1" customHeight="1" x14ac:dyDescent="0.35">
      <c r="B19" s="112" t="s">
        <v>264</v>
      </c>
      <c r="C19" s="115">
        <f>VLOOKUP(Tablas!C$1,'Base gráficos 1'!$A$93:$BQ$493,4,FALSE)/100</f>
        <v>7.9421745075620998E-2</v>
      </c>
      <c r="D19" s="116"/>
      <c r="E19" s="115">
        <f>VLOOKUP(Tablas!E$1,'Base gráficos 1'!$A$93:$BQ$493,4)/100</f>
        <v>8.1379718666287029E-2</v>
      </c>
      <c r="F19" s="130">
        <f>C19/E19*100-100</f>
        <v>-2.405972425015463</v>
      </c>
      <c r="G19" s="118">
        <f>(C19-E19)*100</f>
        <v>-0.19579735906660317</v>
      </c>
      <c r="H19" s="98"/>
      <c r="I19" s="99">
        <v>20</v>
      </c>
      <c r="J19" s="100">
        <v>70</v>
      </c>
      <c r="K19" s="98"/>
    </row>
    <row r="20" spans="2:11" ht="14.1" customHeight="1" x14ac:dyDescent="0.35">
      <c r="B20" s="112" t="s">
        <v>265</v>
      </c>
      <c r="C20" s="115">
        <f>VLOOKUP(Tablas!C$1,'Base gráficos 1'!$A$93:$BQ$493,6,FALSE)/100</f>
        <v>2.4637706436529783E-2</v>
      </c>
      <c r="D20" s="116"/>
      <c r="E20" s="115">
        <f>VLOOKUP(Tablas!E$1,'Base gráficos 1'!$A$93:$BQ$493,6)/100</f>
        <v>2.4171356522073778E-2</v>
      </c>
      <c r="F20" s="131">
        <f>C20/E20*100-100</f>
        <v>1.9293493686633809</v>
      </c>
      <c r="G20" s="118">
        <f>(C20-E20)*100</f>
        <v>4.6634991445600529E-2</v>
      </c>
      <c r="H20" s="132"/>
      <c r="I20" s="99">
        <v>20</v>
      </c>
      <c r="J20" s="100">
        <v>70</v>
      </c>
    </row>
    <row r="21" spans="2:11" ht="14.1" customHeight="1" x14ac:dyDescent="0.25">
      <c r="C21" s="120"/>
      <c r="D21" s="120"/>
      <c r="E21" s="123"/>
      <c r="F21" s="114"/>
      <c r="I21" s="99"/>
      <c r="J21" s="100"/>
    </row>
    <row r="22" spans="2:11" ht="14.1" customHeight="1" x14ac:dyDescent="0.25">
      <c r="C22" s="120"/>
      <c r="D22" s="120"/>
      <c r="E22" s="123"/>
      <c r="F22" s="114"/>
      <c r="I22" s="99"/>
      <c r="J22" s="100"/>
    </row>
    <row r="23" spans="2:11" s="109" customFormat="1" ht="14.1" customHeight="1" x14ac:dyDescent="0.3">
      <c r="B23" s="2"/>
      <c r="C23" s="120"/>
      <c r="D23" s="120"/>
      <c r="E23" s="124"/>
      <c r="F23" s="101"/>
      <c r="G23" s="102" t="s">
        <v>246</v>
      </c>
      <c r="H23" s="107"/>
      <c r="I23" s="99"/>
      <c r="J23" s="108"/>
      <c r="K23" s="107"/>
    </row>
    <row r="24" spans="2:11" s="111" customFormat="1" ht="14.1" customHeight="1" x14ac:dyDescent="0.4">
      <c r="B24" s="103" t="s">
        <v>266</v>
      </c>
      <c r="C24" s="125"/>
      <c r="D24" s="125"/>
      <c r="E24" s="126"/>
      <c r="F24" s="106"/>
      <c r="G24" s="107"/>
      <c r="H24" s="98"/>
      <c r="I24" s="99"/>
      <c r="J24" s="100"/>
      <c r="K24" s="98"/>
    </row>
    <row r="25" spans="2:11" s="111" customFormat="1" ht="14.1" customHeight="1" x14ac:dyDescent="0.35">
      <c r="B25" s="112" t="s">
        <v>260</v>
      </c>
      <c r="C25" s="128"/>
      <c r="D25" s="128"/>
      <c r="E25" s="123"/>
      <c r="F25" s="114"/>
      <c r="G25" s="98"/>
      <c r="H25" s="98"/>
      <c r="I25" s="99"/>
      <c r="J25" s="100"/>
      <c r="K25" s="98"/>
    </row>
    <row r="26" spans="2:11" s="111" customFormat="1" ht="14.1" customHeight="1" x14ac:dyDescent="0.35">
      <c r="B26" s="112" t="s">
        <v>267</v>
      </c>
      <c r="C26" s="115">
        <f>VLOOKUP(Tablas!C$1,'Base gráficos 1'!$A$93:$BQ$493,25,FALSE)/100</f>
        <v>0.63632600033881714</v>
      </c>
      <c r="D26" s="116"/>
      <c r="E26" s="115">
        <f>VLOOKUP(Tablas!E$1,'Base gráficos 1'!$A$93:$BQ$493,25)/100</f>
        <v>0.53915955657430714</v>
      </c>
      <c r="F26" s="130">
        <f>C26/E26*100-100</f>
        <v>18.021834646107877</v>
      </c>
      <c r="G26" s="118">
        <f>(C26-E26)*100</f>
        <v>9.7166443764510007</v>
      </c>
      <c r="H26" s="118"/>
      <c r="I26" s="99">
        <v>25</v>
      </c>
      <c r="J26" s="100">
        <v>100</v>
      </c>
      <c r="K26" s="98"/>
    </row>
    <row r="27" spans="2:11" s="111" customFormat="1" ht="14.1" customHeight="1" x14ac:dyDescent="0.35">
      <c r="B27" s="112" t="s">
        <v>268</v>
      </c>
      <c r="C27" s="115">
        <f>VLOOKUP(Tablas!C$1,'Base gráficos 1'!$A$93:$BQ$493,40,FALSE)/100</f>
        <v>8.1464811550555113E-2</v>
      </c>
      <c r="D27" s="116"/>
      <c r="E27" s="115">
        <f>VLOOKUP(Tablas!E$1,'Base gráficos 1'!$A$93:$BQ$493,40)/100</f>
        <v>4.938872952831886E-2</v>
      </c>
      <c r="F27" s="130">
        <f>C27/E27*100-100</f>
        <v>64.946157409949649</v>
      </c>
      <c r="G27" s="118">
        <f>(C27-E27)*100</f>
        <v>3.2076082022236254</v>
      </c>
      <c r="H27" s="118"/>
      <c r="I27" s="99">
        <v>25</v>
      </c>
      <c r="J27" s="100">
        <v>100</v>
      </c>
      <c r="K27" s="98"/>
    </row>
    <row r="28" spans="2:11" ht="14.1" customHeight="1" x14ac:dyDescent="0.35">
      <c r="B28" s="112" t="s">
        <v>269</v>
      </c>
      <c r="C28" s="115">
        <f>VLOOKUP(Tablas!C$1,'Base gráficos 1'!$A$93:$BQ$493,54,FALSE)/100</f>
        <v>6.9220424987851595E-2</v>
      </c>
      <c r="D28" s="116"/>
      <c r="E28" s="115">
        <f>VLOOKUP(Tablas!E$1,'Base gráficos 1'!$A$93:$BQ$493,54)/100</f>
        <v>6.7429288452894698E-2</v>
      </c>
      <c r="F28" s="130">
        <f>C28/E28*100-100</f>
        <v>2.6563183092287233</v>
      </c>
      <c r="G28" s="118">
        <f>(C28-E28)*100</f>
        <v>0.1791136534956897</v>
      </c>
      <c r="H28" s="118"/>
      <c r="I28" s="99">
        <v>25</v>
      </c>
      <c r="J28" s="100">
        <v>100</v>
      </c>
    </row>
    <row r="29" spans="2:11" ht="13.5" customHeight="1" x14ac:dyDescent="0.25">
      <c r="I29" s="99"/>
      <c r="J29" s="100"/>
    </row>
    <row r="30" spans="2:11" ht="13.5" customHeight="1" x14ac:dyDescent="0.4">
      <c r="B30" s="104" t="s">
        <v>270</v>
      </c>
      <c r="C30" s="104"/>
      <c r="D30" s="104"/>
      <c r="E30" s="105"/>
      <c r="F30" s="106"/>
      <c r="G30" s="107"/>
      <c r="I30" s="99"/>
      <c r="J30" s="100"/>
    </row>
    <row r="31" spans="2:11" ht="13.5" customHeight="1" x14ac:dyDescent="0.4">
      <c r="B31" s="105" t="s">
        <v>271</v>
      </c>
      <c r="C31" s="104"/>
      <c r="D31" s="104"/>
      <c r="E31" s="105"/>
      <c r="F31" s="106"/>
      <c r="G31" s="107"/>
      <c r="I31" s="99"/>
      <c r="J31" s="100"/>
    </row>
    <row r="32" spans="2:11" ht="13.5" customHeight="1" x14ac:dyDescent="0.35">
      <c r="B32" s="112" t="s">
        <v>250</v>
      </c>
      <c r="C32" s="113"/>
      <c r="D32" s="113"/>
      <c r="E32" s="113"/>
      <c r="F32" s="114"/>
      <c r="I32" s="99"/>
      <c r="J32" s="100"/>
    </row>
    <row r="33" spans="2:10" ht="13.5" customHeight="1" x14ac:dyDescent="0.35">
      <c r="B33" s="112" t="s">
        <v>272</v>
      </c>
      <c r="C33" s="115">
        <f>VLOOKUP(Tablas!C$1,'Base gráficos 1'!$A$93:$BU$493,8,FALSE)/100</f>
        <v>9.6269345767290654E-2</v>
      </c>
      <c r="D33" s="116"/>
      <c r="E33" s="115">
        <f>VLOOKUP(Tablas!E$1,'Base gráficos 1'!$A$93:$BU$493,8)/100</f>
        <v>9.6465201165305534E-2</v>
      </c>
      <c r="F33" s="117">
        <f t="shared" ref="F33:F39" si="0">C33-E33</f>
        <v>-1.9585539801487972E-4</v>
      </c>
      <c r="G33" s="118">
        <f t="shared" ref="G33:G39" si="1">(C33-E33)*100</f>
        <v>-1.9585539801487972E-2</v>
      </c>
      <c r="I33" s="99">
        <v>30</v>
      </c>
      <c r="J33" s="100">
        <v>60</v>
      </c>
    </row>
    <row r="34" spans="2:10" ht="13.5" customHeight="1" x14ac:dyDescent="0.35">
      <c r="B34" s="112" t="s">
        <v>273</v>
      </c>
      <c r="C34" s="115">
        <f>VLOOKUP(Tablas!C$1,'Base gráficos 1'!$A$93:$BU$493,9,FALSE)/100</f>
        <v>1.0759921855325514E-2</v>
      </c>
      <c r="D34" s="116"/>
      <c r="E34" s="115">
        <f>VLOOKUP(Tablas!E$1,'Base gráficos 1'!$A$93:$BU$493,9)/100</f>
        <v>9.9764673775849227E-3</v>
      </c>
      <c r="F34" s="117">
        <f t="shared" si="0"/>
        <v>7.8345447774059128E-4</v>
      </c>
      <c r="G34" s="118">
        <f t="shared" si="1"/>
        <v>7.8345447774059135E-2</v>
      </c>
      <c r="I34" s="99">
        <v>30</v>
      </c>
      <c r="J34" s="100">
        <v>60</v>
      </c>
    </row>
    <row r="35" spans="2:10" ht="13.5" customHeight="1" x14ac:dyDescent="0.35">
      <c r="B35" s="112" t="s">
        <v>274</v>
      </c>
      <c r="C35" s="115">
        <f>VLOOKUP(Tablas!C$1,'Base gráficos 1'!$A$93:$BU$493,10,FALSE)/100</f>
        <v>2.2865253855722346E-2</v>
      </c>
      <c r="D35" s="116"/>
      <c r="E35" s="115">
        <f>VLOOKUP(Tablas!E$1,'Base gráficos 1'!$A$93:$BU$493,10)/100</f>
        <v>1.9918346739805276E-2</v>
      </c>
      <c r="F35" s="117">
        <f t="shared" si="0"/>
        <v>2.9469071159170697E-3</v>
      </c>
      <c r="G35" s="118">
        <f t="shared" si="1"/>
        <v>0.29469071159170696</v>
      </c>
      <c r="I35" s="99">
        <v>30</v>
      </c>
      <c r="J35" s="100">
        <v>60</v>
      </c>
    </row>
    <row r="36" spans="2:10" ht="13.5" customHeight="1" x14ac:dyDescent="0.35">
      <c r="B36" s="112" t="s">
        <v>275</v>
      </c>
      <c r="C36" s="143">
        <f>VLOOKUP(Tablas!C$1,'Base gráficos 1'!$A$93:$BU$493,12,FALSE)/100</f>
        <v>5.5399999999999998E-2</v>
      </c>
      <c r="D36" s="116"/>
      <c r="E36" s="143">
        <f>VLOOKUP(Tablas!E$1,'Base gráficos 1'!$A$93:$BU$493,12)/100</f>
        <v>4.9800000000000004E-2</v>
      </c>
      <c r="F36" s="117">
        <f t="shared" si="0"/>
        <v>5.5999999999999939E-3</v>
      </c>
      <c r="G36" s="118">
        <f t="shared" si="1"/>
        <v>0.55999999999999939</v>
      </c>
      <c r="I36" s="99">
        <v>10</v>
      </c>
      <c r="J36" s="100">
        <v>20</v>
      </c>
    </row>
    <row r="37" spans="2:10" ht="13.5" customHeight="1" x14ac:dyDescent="0.35">
      <c r="B37" s="112" t="s">
        <v>276</v>
      </c>
      <c r="C37" s="143">
        <f>VLOOKUP(Tablas!C$1,'Base gráficos 1'!$A$93:$BU$493,13,FALSE)/100</f>
        <v>4.9768359766076686E-3</v>
      </c>
      <c r="D37" s="116"/>
      <c r="E37" s="143">
        <f>VLOOKUP(Tablas!E$1,'Base gráficos 1'!$A$93:$BU$493,13)/100</f>
        <v>4.1554041172169763E-3</v>
      </c>
      <c r="F37" s="117">
        <f t="shared" si="0"/>
        <v>8.2143185939069236E-4</v>
      </c>
      <c r="G37" s="118">
        <f t="shared" si="1"/>
        <v>8.2143185939069233E-2</v>
      </c>
      <c r="I37" s="99">
        <v>10</v>
      </c>
      <c r="J37" s="100">
        <v>20</v>
      </c>
    </row>
    <row r="38" spans="2:10" ht="13.5" customHeight="1" x14ac:dyDescent="0.35">
      <c r="B38" s="112" t="s">
        <v>277</v>
      </c>
      <c r="C38" s="115">
        <f>VLOOKUP(Tablas!C$1,'Base gráficos 1'!$A$93:$BU$493,15,FALSE)/100</f>
        <v>3.8502024478456673E-2</v>
      </c>
      <c r="D38" s="116"/>
      <c r="E38" s="115">
        <f>VLOOKUP(Tablas!E$1,'Base gráficos 1'!$A$93:$BU$493,15)/100</f>
        <v>3.4347027157096532E-2</v>
      </c>
      <c r="F38" s="117">
        <f t="shared" si="0"/>
        <v>4.1549973213601404E-3</v>
      </c>
      <c r="G38" s="118">
        <f t="shared" si="1"/>
        <v>0.41549973213601404</v>
      </c>
      <c r="I38" s="99">
        <v>10</v>
      </c>
      <c r="J38" s="100">
        <v>20</v>
      </c>
    </row>
    <row r="39" spans="2:10" ht="13.5" customHeight="1" x14ac:dyDescent="0.35">
      <c r="B39" s="112" t="s">
        <v>278</v>
      </c>
      <c r="C39" s="115">
        <f>VLOOKUP(Tablas!C$1,'Base gráficos 1'!$A$93:$BU$493,16,FALSE)/100</f>
        <v>1.8600000000000002E-2</v>
      </c>
      <c r="D39" s="116"/>
      <c r="E39" s="115">
        <f>VLOOKUP(Tablas!E$1,'Base gráficos 1'!$A$93:$BU$493,16)/100</f>
        <v>2.4399999999999998E-2</v>
      </c>
      <c r="F39" s="117">
        <f t="shared" si="0"/>
        <v>-5.7999999999999961E-3</v>
      </c>
      <c r="G39" s="118">
        <f t="shared" si="1"/>
        <v>-0.57999999999999963</v>
      </c>
      <c r="I39" s="99">
        <v>10</v>
      </c>
      <c r="J39" s="100">
        <v>20</v>
      </c>
    </row>
    <row r="40" spans="2:10" ht="13.5" customHeight="1" x14ac:dyDescent="0.25">
      <c r="I40" s="99"/>
      <c r="J40" s="100"/>
    </row>
    <row r="41" spans="2:10" ht="13.5" customHeight="1" x14ac:dyDescent="0.4">
      <c r="B41" s="104" t="s">
        <v>279</v>
      </c>
      <c r="C41" s="104"/>
      <c r="D41" s="104"/>
      <c r="E41" s="105"/>
      <c r="F41" s="106"/>
      <c r="G41" s="107"/>
      <c r="I41" s="99"/>
      <c r="J41" s="100"/>
    </row>
    <row r="42" spans="2:10" ht="13.5" customHeight="1" x14ac:dyDescent="0.35">
      <c r="B42" s="112" t="s">
        <v>250</v>
      </c>
      <c r="C42" s="113"/>
      <c r="D42" s="113"/>
      <c r="E42" s="113"/>
      <c r="F42" s="114"/>
      <c r="I42" s="99"/>
      <c r="J42" s="100"/>
    </row>
    <row r="43" spans="2:10" ht="13.5" customHeight="1" x14ac:dyDescent="0.35">
      <c r="B43" s="112" t="s">
        <v>280</v>
      </c>
      <c r="C43" s="133">
        <f>VLOOKUP(Tablas!C$1,'Base original'!$A$89:$BS$496,42,FALSE)/100</f>
        <v>406.59704761877401</v>
      </c>
      <c r="D43" s="134"/>
      <c r="E43" s="133">
        <f>VLOOKUP(Tablas!E$1,'Base original'!$A$89:$BS$496,42)/100</f>
        <v>405.1773590141845</v>
      </c>
      <c r="F43" s="117">
        <f>C43-E43</f>
        <v>1.4196886045895099</v>
      </c>
      <c r="G43" s="118">
        <f t="shared" ref="G43:G50" si="2">(C43-E43)*100</f>
        <v>141.96886045895099</v>
      </c>
      <c r="I43" s="99">
        <v>10</v>
      </c>
      <c r="J43" s="100">
        <v>20</v>
      </c>
    </row>
    <row r="44" spans="2:10" ht="13.5" customHeight="1" x14ac:dyDescent="0.35">
      <c r="B44" s="112" t="s">
        <v>281</v>
      </c>
      <c r="C44" s="133">
        <f>VLOOKUP(Tablas!C$1,'Base original'!$A$89:$BS$496,44,FALSE)/100</f>
        <v>262.0834674569</v>
      </c>
      <c r="D44" s="134"/>
      <c r="E44" s="133">
        <f>VLOOKUP(Tablas!E$1,'Base original'!$A$89:$BS$496,44)/100</f>
        <v>265.40306826842971</v>
      </c>
      <c r="F44" s="117">
        <f t="shared" ref="F44:F50" si="3">C44-E44</f>
        <v>-3.3196008115297104</v>
      </c>
      <c r="G44" s="118">
        <f t="shared" si="2"/>
        <v>-331.96008115297104</v>
      </c>
      <c r="I44" s="99">
        <v>10</v>
      </c>
      <c r="J44" s="100">
        <v>20</v>
      </c>
    </row>
    <row r="45" spans="2:10" ht="13.5" customHeight="1" x14ac:dyDescent="0.35">
      <c r="B45" s="112" t="s">
        <v>282</v>
      </c>
      <c r="C45" s="133">
        <f>VLOOKUP(Tablas!C$1,'Base original'!$A$89:$BS$496,46,FALSE)/100</f>
        <v>84.992923594539988</v>
      </c>
      <c r="D45" s="134"/>
      <c r="E45" s="133">
        <f>VLOOKUP(Tablas!E$1,'Base original'!$A$89:$BS$496,46)/100</f>
        <v>79.160375282031012</v>
      </c>
      <c r="F45" s="117">
        <f t="shared" si="3"/>
        <v>5.8325483125089761</v>
      </c>
      <c r="G45" s="118">
        <f t="shared" si="2"/>
        <v>583.25483125089761</v>
      </c>
      <c r="I45" s="99">
        <v>10</v>
      </c>
      <c r="J45" s="100">
        <v>20</v>
      </c>
    </row>
    <row r="46" spans="2:10" ht="13.5" customHeight="1" x14ac:dyDescent="0.35">
      <c r="B46" s="112" t="s">
        <v>283</v>
      </c>
      <c r="C46" s="133">
        <f>VLOOKUP(Tablas!C$1,'Base original'!$A$89:$BS$496,48,FALSE)/100</f>
        <v>11.696702837936719</v>
      </c>
      <c r="D46" s="134"/>
      <c r="E46" s="133">
        <f>VLOOKUP(Tablas!E$1,'Base original'!$A$89:$BS$496,48)/100</f>
        <v>11.623115</v>
      </c>
      <c r="F46" s="117">
        <f t="shared" si="3"/>
        <v>7.3587837936718969E-2</v>
      </c>
      <c r="G46" s="118">
        <f t="shared" si="2"/>
        <v>7.3587837936718969</v>
      </c>
      <c r="I46" s="99">
        <v>10</v>
      </c>
      <c r="J46" s="100">
        <v>20</v>
      </c>
    </row>
    <row r="47" spans="2:10" ht="13.5" customHeight="1" x14ac:dyDescent="0.35">
      <c r="B47" s="112" t="s">
        <v>284</v>
      </c>
      <c r="C47" s="133">
        <f>VLOOKUP(Tablas!C$1,'Base original'!$A$89:$BS$496,43,FALSE)/100</f>
        <v>85.662991209767199</v>
      </c>
      <c r="D47" s="134"/>
      <c r="E47" s="133">
        <f>VLOOKUP(Tablas!E$1,'Base original'!$A$89:$BS$496,43)/100</f>
        <v>95.166384450837072</v>
      </c>
      <c r="F47" s="117">
        <f t="shared" si="3"/>
        <v>-9.5033932410698725</v>
      </c>
      <c r="G47" s="118">
        <f t="shared" si="2"/>
        <v>-950.33932410698731</v>
      </c>
      <c r="I47" s="99">
        <v>10</v>
      </c>
      <c r="J47" s="100">
        <v>20</v>
      </c>
    </row>
    <row r="48" spans="2:10" ht="13.5" customHeight="1" x14ac:dyDescent="0.35">
      <c r="B48" s="112" t="s">
        <v>285</v>
      </c>
      <c r="C48" s="133">
        <f>VLOOKUP(Tablas!C$1,'Base original'!$A$89:$BS$496,45,FALSE)/100</f>
        <v>9.2898704846170013</v>
      </c>
      <c r="D48" s="134"/>
      <c r="E48" s="133">
        <f>VLOOKUP(Tablas!E$1,'Base original'!$A$89:$BS$496,45)/100</f>
        <v>9.1847185161180001</v>
      </c>
      <c r="F48" s="117">
        <f t="shared" si="3"/>
        <v>0.10515196849900121</v>
      </c>
      <c r="G48" s="118">
        <f t="shared" si="2"/>
        <v>10.515196849900121</v>
      </c>
      <c r="I48" s="99">
        <v>10</v>
      </c>
      <c r="J48" s="100">
        <v>20</v>
      </c>
    </row>
    <row r="49" spans="2:14" ht="13.5" customHeight="1" x14ac:dyDescent="0.35">
      <c r="B49" s="112" t="s">
        <v>286</v>
      </c>
      <c r="C49" s="133">
        <f>VLOOKUP(Tablas!C$1,'Base original'!$A$89:$BS$496,47,FALSE)/100</f>
        <v>242.79474938878238</v>
      </c>
      <c r="D49" s="134"/>
      <c r="E49" s="133">
        <f>VLOOKUP(Tablas!E$1,'Base original'!$A$89:$BS$496,47)/100</f>
        <v>235.82848318425351</v>
      </c>
      <c r="F49" s="117">
        <f t="shared" si="3"/>
        <v>6.9662662045288641</v>
      </c>
      <c r="G49" s="118">
        <f t="shared" si="2"/>
        <v>696.62662045288641</v>
      </c>
      <c r="I49" s="99">
        <v>30</v>
      </c>
      <c r="J49" s="100">
        <v>60</v>
      </c>
    </row>
    <row r="50" spans="2:14" ht="16.5" x14ac:dyDescent="0.35">
      <c r="B50" s="112" t="s">
        <v>287</v>
      </c>
      <c r="C50" s="133">
        <f>VLOOKUP(Tablas!C$1,'Base original'!$A$89:$BS$496,49,FALSE)/100</f>
        <v>158.35054889980051</v>
      </c>
      <c r="D50" s="134"/>
      <c r="E50" s="133">
        <f>VLOOKUP(Tablas!E$1,'Base original'!$A$89:$BS$496,49)/100</f>
        <v>161.67385513545386</v>
      </c>
      <c r="F50" s="117">
        <f t="shared" si="3"/>
        <v>-3.323306235653348</v>
      </c>
      <c r="G50" s="118">
        <f t="shared" si="2"/>
        <v>-332.3306235653348</v>
      </c>
      <c r="I50" s="99">
        <v>24</v>
      </c>
      <c r="J50" s="100">
        <v>70</v>
      </c>
    </row>
    <row r="51" spans="2:14" x14ac:dyDescent="0.25">
      <c r="C51" s="135"/>
      <c r="D51" s="135"/>
      <c r="E51" s="135"/>
      <c r="I51" s="99"/>
      <c r="J51" s="100"/>
    </row>
    <row r="52" spans="2:14" ht="16.5" x14ac:dyDescent="0.35">
      <c r="B52" s="112" t="s">
        <v>288</v>
      </c>
      <c r="C52" s="133">
        <f>(VLOOKUP(Tablas!C$1,'Base original'!$A$89:$BS$496,43,FALSE)/100)-VLOOKUP(Tablas!C$1,'Base original'!$A$89:$BS$496,42,FALSE)/100</f>
        <v>-320.93405640900681</v>
      </c>
      <c r="D52" s="134"/>
      <c r="E52" s="133">
        <f>(VLOOKUP(Tablas!E$1,'Base original'!$A$89:$BS$496,43)/100)-VLOOKUP(Tablas!E$1,'Base original'!$A$89:$BS$496,42)/100</f>
        <v>-310.01097456334742</v>
      </c>
      <c r="F52" s="117">
        <f>C52-E52</f>
        <v>-10.923081845659397</v>
      </c>
      <c r="G52" s="118">
        <f>(C52-E52)*100</f>
        <v>-1092.3081845659397</v>
      </c>
      <c r="I52" s="99">
        <v>10</v>
      </c>
      <c r="J52" s="100">
        <v>20</v>
      </c>
    </row>
    <row r="53" spans="2:14" ht="16.5" x14ac:dyDescent="0.35">
      <c r="B53" s="112" t="s">
        <v>289</v>
      </c>
      <c r="C53" s="133">
        <f>(VLOOKUP(Tablas!C$1,'Base original'!$A$89:$BS$496,45,FALSE)/100)-VLOOKUP(Tablas!C$1,'Base original'!$A$89:$BS$496,44,FALSE)/100</f>
        <v>-252.79359697228298</v>
      </c>
      <c r="D53" s="134"/>
      <c r="E53" s="133">
        <f>(VLOOKUP(Tablas!E$1,'Base original'!$A$89:$BS$496,45)/100)-VLOOKUP(Tablas!E$1,'Base original'!$A$89:$BS$496,44)/100</f>
        <v>-256.21834975231172</v>
      </c>
      <c r="F53" s="117">
        <f>C53-E53</f>
        <v>3.4247527800287401</v>
      </c>
      <c r="G53" s="118">
        <f>(C53-E53)*100</f>
        <v>342.47527800287401</v>
      </c>
      <c r="I53" s="99">
        <v>10</v>
      </c>
      <c r="J53" s="100">
        <v>20</v>
      </c>
    </row>
    <row r="54" spans="2:14" ht="16.5" x14ac:dyDescent="0.35">
      <c r="B54" s="112" t="s">
        <v>290</v>
      </c>
      <c r="C54" s="133">
        <f>(VLOOKUP(Tablas!C$1,'Base original'!$A$89:$BS$496,47,FALSE)/100)-VLOOKUP(Tablas!C$1,'Base original'!$A$89:$BS$496,46,FALSE)/100</f>
        <v>157.8018257942424</v>
      </c>
      <c r="D54" s="134"/>
      <c r="E54" s="133">
        <f>(VLOOKUP(Tablas!E$1,'Base original'!$A$89:$BS$496,47)/100)-VLOOKUP(Tablas!E$1,'Base original'!$A$89:$BS$496,46)/100</f>
        <v>156.66810790222252</v>
      </c>
      <c r="F54" s="117">
        <f>C54-E54</f>
        <v>1.133717892019888</v>
      </c>
      <c r="G54" s="118">
        <f>(C54-E54)*100</f>
        <v>113.3717892019888</v>
      </c>
      <c r="H54" s="2"/>
      <c r="I54" s="99">
        <v>30</v>
      </c>
      <c r="J54" s="100">
        <v>60</v>
      </c>
      <c r="K54" s="2"/>
    </row>
    <row r="55" spans="2:14" ht="16.5" x14ac:dyDescent="0.35">
      <c r="B55" s="112" t="s">
        <v>291</v>
      </c>
      <c r="C55" s="133">
        <f>(VLOOKUP(Tablas!C$1,'Base original'!$A$89:$BS$496,49,FALSE)/100)-VLOOKUP(Tablas!C$1,'Base original'!$A$89:$BS$496,48,FALSE)/100</f>
        <v>146.65384606186379</v>
      </c>
      <c r="D55" s="134"/>
      <c r="E55" s="133">
        <f>(VLOOKUP(Tablas!E$1,'Base original'!$A$89:$BS$496,49)/100)-VLOOKUP(Tablas!E$1,'Base original'!$A$89:$BS$496,48)/100</f>
        <v>150.05074013545385</v>
      </c>
      <c r="F55" s="117">
        <f>C55-E55</f>
        <v>-3.3968940735900617</v>
      </c>
      <c r="G55" s="118">
        <f>(C55-E55)*100</f>
        <v>-339.68940735900617</v>
      </c>
      <c r="H55" s="2"/>
      <c r="I55" s="99">
        <v>30</v>
      </c>
      <c r="J55" s="100">
        <v>60</v>
      </c>
      <c r="K55" s="2"/>
    </row>
    <row r="56" spans="2:14" x14ac:dyDescent="0.25">
      <c r="F56" s="2"/>
      <c r="G56" s="2"/>
      <c r="H56" s="2"/>
      <c r="I56" s="2"/>
      <c r="J56" s="2"/>
      <c r="K56" s="2"/>
    </row>
    <row r="57" spans="2:14" x14ac:dyDescent="0.25">
      <c r="F57" s="2"/>
      <c r="G57" s="2"/>
      <c r="H57" s="2"/>
      <c r="I57" s="2"/>
      <c r="J57" s="2"/>
      <c r="K57" s="2"/>
    </row>
    <row r="58" spans="2:14" x14ac:dyDescent="0.25">
      <c r="B58" s="22"/>
      <c r="C58" s="22"/>
      <c r="D58" s="22"/>
      <c r="E58" s="22"/>
      <c r="F58" s="114"/>
      <c r="G58" s="114"/>
      <c r="H58" s="114"/>
      <c r="I58" s="136"/>
      <c r="J58" s="114"/>
      <c r="K58" s="114"/>
    </row>
    <row r="59" spans="2:14" x14ac:dyDescent="0.25">
      <c r="B59" s="22"/>
      <c r="C59" s="36" t="s">
        <v>292</v>
      </c>
      <c r="D59" s="36" t="s">
        <v>293</v>
      </c>
      <c r="E59" s="36" t="s">
        <v>294</v>
      </c>
      <c r="F59" s="36" t="s">
        <v>295</v>
      </c>
      <c r="G59" s="114" t="s">
        <v>296</v>
      </c>
      <c r="H59" s="137"/>
      <c r="I59" s="136"/>
      <c r="J59" s="12"/>
      <c r="K59" s="12"/>
      <c r="L59" s="12"/>
    </row>
    <row r="60" spans="2:14" x14ac:dyDescent="0.25">
      <c r="B60" s="138" t="s">
        <v>68</v>
      </c>
      <c r="C60" s="22">
        <v>2.88</v>
      </c>
      <c r="D60" s="22">
        <v>2.7600000000000002</v>
      </c>
      <c r="E60" s="139">
        <v>2.88</v>
      </c>
      <c r="F60" s="12">
        <v>2.7600000000000002</v>
      </c>
      <c r="G60" s="12">
        <v>2.7600000000000002</v>
      </c>
      <c r="H60" s="12"/>
      <c r="I60" s="12"/>
      <c r="J60" s="114"/>
      <c r="K60" s="114"/>
    </row>
    <row r="61" spans="2:14" x14ac:dyDescent="0.25">
      <c r="B61" s="138" t="s">
        <v>69</v>
      </c>
      <c r="C61" s="22">
        <v>3.24</v>
      </c>
      <c r="D61" s="22">
        <v>3.24</v>
      </c>
      <c r="E61" s="139">
        <v>3.4799999999999995</v>
      </c>
      <c r="F61" s="12">
        <v>3.4799999999999995</v>
      </c>
      <c r="G61" s="12">
        <v>3.24</v>
      </c>
      <c r="H61" s="12"/>
      <c r="I61" s="12"/>
      <c r="J61" s="114"/>
      <c r="K61" s="114"/>
      <c r="L61" s="12"/>
      <c r="M61" s="12"/>
      <c r="N61" s="12"/>
    </row>
    <row r="62" spans="2:14" x14ac:dyDescent="0.25">
      <c r="B62" s="138" t="s">
        <v>70</v>
      </c>
      <c r="C62" s="22">
        <v>3.5999999999999996</v>
      </c>
      <c r="D62" s="22">
        <v>3.7199999999999998</v>
      </c>
      <c r="E62" s="139">
        <v>3.96</v>
      </c>
      <c r="F62" s="12">
        <v>3.96</v>
      </c>
      <c r="G62" s="12">
        <v>3.96</v>
      </c>
      <c r="H62" s="12"/>
      <c r="I62" s="12"/>
      <c r="J62" s="114"/>
      <c r="K62" s="114"/>
      <c r="L62" s="12"/>
      <c r="M62" s="12"/>
      <c r="N62" s="12"/>
    </row>
    <row r="63" spans="2:14" x14ac:dyDescent="0.25">
      <c r="B63" s="138"/>
      <c r="C63" s="36"/>
      <c r="D63" s="87"/>
      <c r="E63" s="87"/>
      <c r="F63" s="12"/>
      <c r="G63" s="12"/>
      <c r="H63" s="12"/>
      <c r="I63" s="12"/>
      <c r="J63" s="114"/>
      <c r="K63" s="114"/>
    </row>
    <row r="64" spans="2:14" x14ac:dyDescent="0.25">
      <c r="B64" s="22"/>
      <c r="C64" s="22"/>
      <c r="D64" s="22"/>
      <c r="E64" s="22"/>
      <c r="F64" s="114"/>
      <c r="G64" s="114"/>
      <c r="H64" s="114"/>
      <c r="I64" s="136"/>
      <c r="J64" s="114"/>
      <c r="K64" s="114"/>
    </row>
    <row r="65" spans="2:4" x14ac:dyDescent="0.25">
      <c r="C65" s="98" t="s">
        <v>297</v>
      </c>
      <c r="D65" s="98"/>
    </row>
    <row r="66" spans="2:4" x14ac:dyDescent="0.25">
      <c r="B66" s="140" t="s">
        <v>298</v>
      </c>
      <c r="C66" s="98">
        <v>2.5</v>
      </c>
      <c r="D66" s="98"/>
    </row>
    <row r="67" spans="2:4" x14ac:dyDescent="0.25">
      <c r="B67" s="140" t="s">
        <v>299</v>
      </c>
      <c r="C67" s="98">
        <v>2.75</v>
      </c>
      <c r="D67" s="98"/>
    </row>
    <row r="68" spans="2:4" x14ac:dyDescent="0.25">
      <c r="B68" s="141" t="s">
        <v>300</v>
      </c>
      <c r="C68" s="98">
        <v>3.25</v>
      </c>
      <c r="D68" s="98"/>
    </row>
    <row r="69" spans="2:4" x14ac:dyDescent="0.25">
      <c r="B69" s="141" t="s">
        <v>301</v>
      </c>
      <c r="C69" s="98">
        <v>3.75</v>
      </c>
      <c r="D69" s="98"/>
    </row>
  </sheetData>
  <conditionalFormatting sqref="D26:D28">
    <cfRule type="iconSet" priority="14">
      <iconSet iconSet="5ArrowsGray" showValue="0">
        <cfvo type="percent" val="0"/>
        <cfvo type="num" val="-1"/>
        <cfvo type="num" val="-0.15"/>
        <cfvo type="num" val="0.15"/>
        <cfvo type="num" val="1"/>
      </iconSet>
    </cfRule>
  </conditionalFormatting>
  <conditionalFormatting sqref="D16:D20">
    <cfRule type="iconSet" priority="13">
      <iconSet iconSet="5ArrowsGray" showValue="0">
        <cfvo type="percent" val="0"/>
        <cfvo type="num" val="-0.7"/>
        <cfvo type="num" val="-0.13"/>
        <cfvo type="num" val="0.13"/>
        <cfvo type="num" val="0.7"/>
      </iconSet>
    </cfRule>
  </conditionalFormatting>
  <conditionalFormatting sqref="D6">
    <cfRule type="iconSet" priority="12">
      <iconSet iconSet="5ArrowsGray" showValue="0">
        <cfvo type="percent" val="0"/>
        <cfvo type="num" val="-0.5"/>
        <cfvo type="num" val="-0.2"/>
        <cfvo type="num" val="0.2"/>
        <cfvo type="num" val="0.5"/>
      </iconSet>
    </cfRule>
  </conditionalFormatting>
  <conditionalFormatting sqref="D36:D39">
    <cfRule type="iconSet" priority="11">
      <iconSet iconSet="5ArrowsGray" showValue="0">
        <cfvo type="percent" val="0"/>
        <cfvo type="num" val="-0.2"/>
        <cfvo type="num" val="-0.1"/>
        <cfvo type="num" val="0.1"/>
        <cfvo type="num" val="0.2"/>
      </iconSet>
    </cfRule>
  </conditionalFormatting>
  <conditionalFormatting sqref="D33:D35">
    <cfRule type="iconSet" priority="10">
      <iconSet iconSet="5ArrowsGray" showValue="0">
        <cfvo type="percent" val="0"/>
        <cfvo type="num" val="-0.6"/>
        <cfvo type="num" val="-0.3"/>
        <cfvo type="num" val="0.3"/>
        <cfvo type="num" val="0.6"/>
      </iconSet>
    </cfRule>
  </conditionalFormatting>
  <conditionalFormatting sqref="D43:D48">
    <cfRule type="iconSet" priority="9">
      <iconSet iconSet="5ArrowsGray" showValue="0">
        <cfvo type="percent" val="0"/>
        <cfvo type="num" val="-0.2"/>
        <cfvo type="num" val="-0.1"/>
        <cfvo type="num" val="0.1"/>
        <cfvo type="num" val="0.2"/>
      </iconSet>
    </cfRule>
  </conditionalFormatting>
  <conditionalFormatting sqref="D49">
    <cfRule type="iconSet" priority="8">
      <iconSet iconSet="5ArrowsGray" showValue="0">
        <cfvo type="percent" val="0"/>
        <cfvo type="num" val="-0.6"/>
        <cfvo type="num" val="-0.3"/>
        <cfvo type="num" val="0.3"/>
        <cfvo type="num" val="0.6"/>
      </iconSet>
    </cfRule>
  </conditionalFormatting>
  <conditionalFormatting sqref="D52:D53">
    <cfRule type="iconSet" priority="7">
      <iconSet iconSet="5ArrowsGray" showValue="0">
        <cfvo type="percent" val="0"/>
        <cfvo type="num" val="-0.2"/>
        <cfvo type="num" val="-0.1"/>
        <cfvo type="num" val="0.1"/>
        <cfvo type="num" val="0.2"/>
      </iconSet>
    </cfRule>
  </conditionalFormatting>
  <conditionalFormatting sqref="D54:D55">
    <cfRule type="iconSet" priority="6">
      <iconSet iconSet="5ArrowsGray" showValue="0">
        <cfvo type="percent" val="0"/>
        <cfvo type="num" val="-0.6"/>
        <cfvo type="num" val="-0.3"/>
        <cfvo type="num" val="0.3"/>
        <cfvo type="num" val="0.6"/>
      </iconSet>
    </cfRule>
  </conditionalFormatting>
  <conditionalFormatting sqref="D50">
    <cfRule type="iconSet" priority="5">
      <iconSet iconSet="5ArrowsGray" showValue="0">
        <cfvo type="percent" val="0"/>
        <cfvo type="num" val="-0.7"/>
        <cfvo type="num" val="-0.24"/>
        <cfvo type="num" val="0.24"/>
        <cfvo type="num" val="0.7"/>
      </iconSet>
    </cfRule>
  </conditionalFormatting>
  <conditionalFormatting sqref="K6">
    <cfRule type="iconSet" priority="4">
      <iconSet iconSet="5ArrowsGray" showValue="0">
        <cfvo type="percent" val="0"/>
        <cfvo type="num" val="-0.56000000000000005"/>
        <cfvo type="num" val="-0.28000000000000003"/>
        <cfvo type="num" val="0.28000000000000003"/>
        <cfvo type="num" val="0.56000000000000005"/>
      </iconSet>
    </cfRule>
  </conditionalFormatting>
  <conditionalFormatting sqref="D7">
    <cfRule type="iconSet" priority="3">
      <iconSet iconSet="5ArrowsGray" showValue="0">
        <cfvo type="percent" val="0"/>
        <cfvo type="num" val="-0.3"/>
        <cfvo type="num" val="-0.08"/>
        <cfvo type="num" val="0.08"/>
        <cfvo type="num" val="0.3"/>
      </iconSet>
    </cfRule>
  </conditionalFormatting>
  <conditionalFormatting sqref="D8">
    <cfRule type="iconSet" priority="2">
      <iconSet iconSet="5ArrowsGray" showValue="0">
        <cfvo type="percent" val="0"/>
        <cfvo type="num" val="-0.3"/>
        <cfvo type="num" val="-0.09"/>
        <cfvo type="num" val="0.09"/>
        <cfvo type="num" val="0.3"/>
      </iconSet>
    </cfRule>
  </conditionalFormatting>
  <conditionalFormatting sqref="D9">
    <cfRule type="iconSet" priority="1">
      <iconSet iconSet="5ArrowsGray" showValue="0">
        <cfvo type="percent" val="0"/>
        <cfvo type="num" val="-0.1"/>
        <cfvo type="num" val="-0.09"/>
        <cfvo type="num" val="0.09"/>
        <cfvo type="num" val="0.1"/>
      </iconSet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Base original</vt:lpstr>
      <vt:lpstr>Base gráficos 1</vt:lpstr>
      <vt:lpstr>Base gráficos 2</vt:lpstr>
      <vt:lpstr>Gráficos</vt:lpstr>
      <vt:lpstr>Tablas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2021-02-04T21:40:18Z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