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GIES\05_DEMF_GM_A_Analisis_Series_Publicacion\6.-Informe_Mensual\0.- Archivos de trabajo\Informe_español\Excel\"/>
    </mc:Choice>
  </mc:AlternateContent>
  <xr:revisionPtr revIDLastSave="0" documentId="8_{C00C3C34-1FA5-4333-8FC1-685B46CB7F9C}" xr6:coauthVersionLast="45" xr6:coauthVersionMax="45" xr10:uidLastSave="{00000000-0000-0000-0000-000000000000}"/>
  <bookViews>
    <workbookView xWindow="-3495" yWindow="-14895" windowWidth="14400" windowHeight="7335" firstSheet="1" activeTab="4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  <sheet name="Tablas" sheetId="610" r:id="rId7"/>
  </sheets>
  <definedNames>
    <definedName name="_AMO_UniqueIdentifier" hidden="1">"'c78395f1-4df1-4407-8d21-9b1d9a76f8bf'"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7" i="163" l="1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 l="1"/>
  <c r="C186" i="163"/>
  <c r="D186" i="163"/>
  <c r="E186" i="163"/>
  <c r="F186" i="163"/>
  <c r="B186" i="12" l="1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 l="1"/>
  <c r="C185" i="163"/>
  <c r="D185" i="163"/>
  <c r="E185" i="163"/>
  <c r="F185" i="163"/>
  <c r="AB44" i="12" l="1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 l="1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C26" i="610" s="1"/>
  <c r="Z185" i="12"/>
  <c r="AA185" i="12"/>
  <c r="AG185" i="12"/>
  <c r="AH185" i="12"/>
  <c r="AI185" i="12"/>
  <c r="AJ185" i="12"/>
  <c r="AK185" i="12"/>
  <c r="AL185" i="12"/>
  <c r="AM185" i="12"/>
  <c r="AN185" i="12"/>
  <c r="C27" i="610" s="1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C28" i="610" s="1"/>
  <c r="AB43" i="12" l="1"/>
  <c r="AD43" i="12"/>
  <c r="AF43" i="12"/>
  <c r="W43" i="12"/>
  <c r="V43" i="12"/>
  <c r="AE43" i="12"/>
  <c r="AC43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E26" i="610" s="1"/>
  <c r="Z184" i="12"/>
  <c r="AA184" i="12"/>
  <c r="AG184" i="12"/>
  <c r="AH184" i="12"/>
  <c r="AI184" i="12"/>
  <c r="AJ184" i="12"/>
  <c r="AK184" i="12"/>
  <c r="AL184" i="12"/>
  <c r="AM184" i="12"/>
  <c r="AN184" i="12"/>
  <c r="E27" i="610" s="1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E28" i="610" s="1"/>
  <c r="B183" i="163" l="1"/>
  <c r="C183" i="163"/>
  <c r="D183" i="163"/>
  <c r="E183" i="163"/>
  <c r="F183" i="163"/>
  <c r="B183" i="12" l="1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 l="1"/>
  <c r="C182" i="163"/>
  <c r="D182" i="163"/>
  <c r="E182" i="163"/>
  <c r="F182" i="163"/>
  <c r="B182" i="12"/>
  <c r="C182" i="12"/>
  <c r="D182" i="12"/>
  <c r="E182" i="12"/>
  <c r="F182" i="12"/>
  <c r="T182" i="12" l="1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 l="1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 l="1"/>
  <c r="C181" i="163"/>
  <c r="D181" i="163"/>
  <c r="E181" i="163"/>
  <c r="F181" i="163"/>
  <c r="C8" i="610" l="1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 l="1"/>
  <c r="C180" i="163"/>
  <c r="D180" i="163"/>
  <c r="E180" i="163"/>
  <c r="F180" i="163"/>
  <c r="B180" i="12" l="1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 l="1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E55" i="610" l="1"/>
  <c r="C55" i="610"/>
  <c r="E54" i="610"/>
  <c r="C54" i="610"/>
  <c r="E53" i="610"/>
  <c r="C53" i="610"/>
  <c r="E52" i="610"/>
  <c r="C52" i="610"/>
  <c r="E50" i="610"/>
  <c r="C50" i="610"/>
  <c r="E49" i="610"/>
  <c r="C49" i="610"/>
  <c r="E48" i="610"/>
  <c r="C48" i="610"/>
  <c r="E47" i="610"/>
  <c r="C47" i="610"/>
  <c r="E46" i="610"/>
  <c r="C46" i="610"/>
  <c r="E45" i="610"/>
  <c r="C45" i="610"/>
  <c r="E44" i="610"/>
  <c r="C44" i="610"/>
  <c r="E43" i="610"/>
  <c r="C43" i="610"/>
  <c r="G53" i="610" l="1"/>
  <c r="G48" i="610"/>
  <c r="G55" i="610"/>
  <c r="G44" i="610"/>
  <c r="G43" i="610"/>
  <c r="G47" i="610"/>
  <c r="G52" i="610"/>
  <c r="G45" i="610"/>
  <c r="G49" i="610"/>
  <c r="G54" i="610"/>
  <c r="G46" i="610"/>
  <c r="G50" i="610"/>
  <c r="F43" i="610"/>
  <c r="F45" i="610"/>
  <c r="F47" i="610"/>
  <c r="F49" i="610"/>
  <c r="F52" i="610"/>
  <c r="F54" i="610"/>
  <c r="F44" i="610"/>
  <c r="F46" i="610"/>
  <c r="F48" i="610"/>
  <c r="F50" i="610"/>
  <c r="F53" i="610"/>
  <c r="F55" i="610"/>
  <c r="B178" i="12"/>
  <c r="C17" i="610" s="1"/>
  <c r="C178" i="12"/>
  <c r="C16" i="610" s="1"/>
  <c r="D178" i="12"/>
  <c r="C19" i="610" s="1"/>
  <c r="E178" i="12"/>
  <c r="C18" i="610" s="1"/>
  <c r="F178" i="12"/>
  <c r="C20" i="610" s="1"/>
  <c r="G178" i="12"/>
  <c r="C6" i="610" s="1"/>
  <c r="H178" i="12"/>
  <c r="C33" i="610" s="1"/>
  <c r="I178" i="12"/>
  <c r="C34" i="610" s="1"/>
  <c r="J178" i="12"/>
  <c r="C35" i="610" s="1"/>
  <c r="K178" i="12"/>
  <c r="L178" i="12"/>
  <c r="M178" i="12"/>
  <c r="C37" i="610" s="1"/>
  <c r="N178" i="12"/>
  <c r="O178" i="12"/>
  <c r="C38" i="610" s="1"/>
  <c r="P178" i="12"/>
  <c r="Q178" i="12"/>
  <c r="R178" i="12"/>
  <c r="S178" i="12"/>
  <c r="C9" i="610" s="1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C7" i="610" l="1"/>
  <c r="C36" i="610"/>
  <c r="C39" i="610"/>
  <c r="B177" i="163"/>
  <c r="C177" i="163"/>
  <c r="D177" i="163"/>
  <c r="E177" i="163"/>
  <c r="F177" i="163"/>
  <c r="B177" i="12"/>
  <c r="E17" i="610" s="1"/>
  <c r="G17" i="610" s="1"/>
  <c r="C177" i="12"/>
  <c r="E16" i="610" s="1"/>
  <c r="G16" i="610" s="1"/>
  <c r="D177" i="12"/>
  <c r="E19" i="610" s="1"/>
  <c r="F19" i="610" s="1"/>
  <c r="E177" i="12"/>
  <c r="E18" i="610" s="1"/>
  <c r="F18" i="610" s="1"/>
  <c r="F177" i="12"/>
  <c r="E20" i="610" s="1"/>
  <c r="G20" i="610" s="1"/>
  <c r="G177" i="12"/>
  <c r="E6" i="610" s="1"/>
  <c r="F6" i="610" s="1"/>
  <c r="H177" i="12"/>
  <c r="E33" i="610" s="1"/>
  <c r="G33" i="610" s="1"/>
  <c r="I177" i="12"/>
  <c r="E34" i="610" s="1"/>
  <c r="G34" i="610" s="1"/>
  <c r="J177" i="12"/>
  <c r="E35" i="610" s="1"/>
  <c r="F35" i="610" s="1"/>
  <c r="K177" i="12"/>
  <c r="L177" i="12"/>
  <c r="M177" i="12"/>
  <c r="E37" i="610" s="1"/>
  <c r="F37" i="610" s="1"/>
  <c r="N177" i="12"/>
  <c r="O177" i="12"/>
  <c r="E38" i="610" s="1"/>
  <c r="G38" i="610" s="1"/>
  <c r="P177" i="12"/>
  <c r="Q177" i="12"/>
  <c r="R177" i="12"/>
  <c r="S177" i="12"/>
  <c r="E9" i="610" s="1"/>
  <c r="F9" i="610" s="1"/>
  <c r="T177" i="12"/>
  <c r="U177" i="12"/>
  <c r="X177" i="12"/>
  <c r="Y177" i="12"/>
  <c r="F26" i="610" s="1"/>
  <c r="Z177" i="12"/>
  <c r="AA177" i="12"/>
  <c r="AG177" i="12"/>
  <c r="AH177" i="12"/>
  <c r="AI177" i="12"/>
  <c r="AJ177" i="12"/>
  <c r="AK177" i="12"/>
  <c r="AL177" i="12"/>
  <c r="AM177" i="12"/>
  <c r="AN177" i="12"/>
  <c r="F27" i="610" s="1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F28" i="610" s="1"/>
  <c r="F16" i="610" l="1"/>
  <c r="G6" i="610"/>
  <c r="F20" i="610"/>
  <c r="F33" i="610"/>
  <c r="G19" i="610"/>
  <c r="G9" i="610"/>
  <c r="G37" i="610"/>
  <c r="G18" i="610"/>
  <c r="F34" i="610"/>
  <c r="G26" i="610"/>
  <c r="G27" i="610"/>
  <c r="F17" i="610"/>
  <c r="G35" i="610"/>
  <c r="E39" i="610"/>
  <c r="F39" i="610" s="1"/>
  <c r="E8" i="610"/>
  <c r="F8" i="610" s="1"/>
  <c r="F38" i="610"/>
  <c r="G28" i="610"/>
  <c r="E7" i="610"/>
  <c r="F7" i="610" s="1"/>
  <c r="E36" i="610"/>
  <c r="G36" i="610" s="1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G7" i="610" l="1"/>
  <c r="G39" i="610"/>
  <c r="G8" i="610"/>
  <c r="F36" i="610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 l="1"/>
  <c r="C174" i="163"/>
  <c r="D174" i="163"/>
  <c r="E174" i="163"/>
  <c r="F174" i="163"/>
  <c r="B174" i="12" l="1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 l="1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 l="1"/>
  <c r="C172" i="163"/>
  <c r="D172" i="163"/>
  <c r="E172" i="163"/>
  <c r="F172" i="163"/>
  <c r="B172" i="12" l="1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 l="1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 l="1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 l="1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 l="1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 l="1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O19" i="12"/>
  <c r="AN19" i="12"/>
  <c r="E19" i="12"/>
  <c r="L7" i="12"/>
  <c r="P7" i="12"/>
  <c r="Z19" i="12"/>
  <c r="Y19" i="12"/>
  <c r="AM19" i="12"/>
  <c r="AI19" i="12"/>
  <c r="AP19" i="12"/>
  <c r="AT19" i="12"/>
  <c r="AX19" i="12"/>
  <c r="AH19" i="12"/>
  <c r="AL19" i="12"/>
  <c r="BA19" i="12"/>
  <c r="AW19" i="12"/>
  <c r="B19" i="12"/>
  <c r="F19" i="12"/>
  <c r="T19" i="12"/>
  <c r="AA19" i="12"/>
  <c r="AJ19" i="12"/>
  <c r="AQ19" i="12"/>
  <c r="AU19" i="12"/>
  <c r="AY19" i="12"/>
  <c r="X19" i="12"/>
  <c r="AS19" i="12"/>
  <c r="C19" i="12"/>
  <c r="G7" i="12"/>
  <c r="S7" i="12"/>
  <c r="U19" i="12"/>
  <c r="AG19" i="12"/>
  <c r="AK19" i="12"/>
  <c r="AR19" i="12"/>
  <c r="AZ19" i="12"/>
  <c r="AV19" i="12"/>
  <c r="BB19" i="12"/>
</calcChain>
</file>

<file path=xl/sharedStrings.xml><?xml version="1.0" encoding="utf-8"?>
<sst xmlns="http://schemas.openxmlformats.org/spreadsheetml/2006/main" count="863" uniqueCount="338">
  <si>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</si>
  <si>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</si>
  <si>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</si>
  <si>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</si>
  <si>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</si>
  <si>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</si>
  <si>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</si>
  <si>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</si>
  <si>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</si>
  <si>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</si>
  <si>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</si>
  <si>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</si>
  <si>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</si>
  <si>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</si>
  <si>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</si>
  <si>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</si>
  <si>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</si>
  <si>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</si>
  <si>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</si>
  <si>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</si>
  <si>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</si>
  <si>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</si>
  <si>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</si>
  <si>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</si>
  <si>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</si>
  <si>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</si>
  <si>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</si>
  <si>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</si>
  <si>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</si>
  <si>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</si>
  <si>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</si>
  <si>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</si>
  <si>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</si>
  <si>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</si>
  <si>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</si>
  <si>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</si>
  <si>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</si>
  <si>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</si>
  <si>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</si>
  <si>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</si>
  <si>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</si>
  <si>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</si>
  <si>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</si>
  <si>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</si>
  <si>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</si>
  <si>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</si>
  <si>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</si>
  <si>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</si>
  <si>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</si>
  <si>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</si>
  <si>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</si>
  <si>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</si>
  <si>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</si>
  <si>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</si>
  <si>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</si>
  <si>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</si>
  <si>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</si>
  <si>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</si>
  <si>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</si>
  <si>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</si>
  <si>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</si>
  <si>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</si>
  <si>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</si>
  <si>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</si>
  <si>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</si>
  <si>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</si>
  <si>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</si>
  <si>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</si>
  <si>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</si>
  <si>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</si>
  <si>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</si>
  <si>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</si>
  <si>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</si>
  <si>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</si>
  <si>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</si>
  <si>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</si>
  <si>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</si>
  <si>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</si>
  <si>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</si>
  <si>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</si>
  <si>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</si>
  <si>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</si>
  <si>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</si>
  <si>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</si>
  <si>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</si>
  <si>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</si>
  <si>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</si>
  <si>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</si>
  <si>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</si>
  <si>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</si>
  <si>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</si>
  <si>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</si>
  <si>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</si>
  <si>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</si>
  <si>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</si>
  <si>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</si>
  <si>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</si>
  <si>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</si>
  <si>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</si>
  <si>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</si>
  <si>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</si>
  <si>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</si>
  <si>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</si>
  <si>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</si>
  <si>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</si>
  <si>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</si>
  <si>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</si>
  <si>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</si>
  <si>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</si>
  <si>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</si>
  <si>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</si>
  <si>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</si>
  <si>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</si>
  <si>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</si>
  <si>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</si>
  <si>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</si>
  <si>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</si>
  <si>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</si>
  <si>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</si>
  <si>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</si>
  <si>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</si>
  <si>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</si>
  <si>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</si>
  <si>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</si>
  <si>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</si>
  <si>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</si>
  <si>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</si>
  <si>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</si>
  <si>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</si>
  <si>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</si>
  <si>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</si>
  <si>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</si>
  <si>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</si>
  <si>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</si>
  <si>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</si>
  <si>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</si>
  <si>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</si>
  <si>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</si>
  <si>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</si>
  <si>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</si>
  <si>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</si>
  <si>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</si>
  <si>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</si>
  <si>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</si>
  <si>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</si>
  <si>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</si>
  <si>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</si>
  <si>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</si>
  <si>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</si>
  <si>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</si>
  <si>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</si>
  <si>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</si>
  <si>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</si>
  <si>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</si>
  <si>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</si>
  <si>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</si>
  <si>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</si>
  <si>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</si>
  <si>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</si>
  <si>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</si>
  <si>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</si>
  <si>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</si>
  <si>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</si>
  <si>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</si>
  <si>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</si>
  <si>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</si>
  <si>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</si>
  <si>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</si>
  <si>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</si>
  <si>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</si>
  <si>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</si>
  <si>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</si>
  <si>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</si>
  <si>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</si>
  <si>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</si>
  <si>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</si>
  <si>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</si>
  <si>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</si>
  <si>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</si>
  <si>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</si>
  <si>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</si>
  <si>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</si>
  <si>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</si>
  <si>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</si>
  <si>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</si>
  <si>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</si>
  <si>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</si>
  <si>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</si>
  <si>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</si>
  <si>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</si>
  <si>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</si>
  <si>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2020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</si>
  <si>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</si>
  <si>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</si>
  <si>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</si>
  <si>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</si>
  <si>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</si>
  <si>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</si>
  <si>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</si>
  <si>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</si>
  <si>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</si>
  <si>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</si>
  <si>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</si>
  <si>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</si>
  <si>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</si>
  <si>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</si>
  <si>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</si>
  <si>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</si>
  <si>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</si>
  <si>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</si>
  <si>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</si>
  <si>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</si>
  <si>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</si>
  <si>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</si>
  <si>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</si>
  <si>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</si>
  <si>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</si>
  <si>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</si>
  <si>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</si>
  <si>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</si>
  <si>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</si>
  <si>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</si>
  <si>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</si>
  <si>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</si>
  <si>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</si>
  <si>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</si>
  <si>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</si>
  <si>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</si>
  <si>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</si>
  <si>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</si>
  <si>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</si>
  <si>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</si>
  <si>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</si>
  <si>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</si>
  <si>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</si>
  <si>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</si>
  <si>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</si>
  <si>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</si>
  <si>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</si>
  <si>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</si>
  <si>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</si>
  <si>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</si>
  <si>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</si>
  <si>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</si>
  <si>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</si>
  <si>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</si>
  <si>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Dif</t>
  </si>
  <si>
    <t>Umbrales</t>
  </si>
  <si>
    <t>Tasas de interés de colocación</t>
  </si>
  <si>
    <t>por tipo de deudor (1):</t>
  </si>
  <si>
    <t xml:space="preserve">(tasas base anual 360 días)    </t>
  </si>
  <si>
    <t xml:space="preserve">consumo ($):              </t>
  </si>
  <si>
    <t>Antes era 28</t>
  </si>
  <si>
    <t>Antes era 56</t>
  </si>
  <si>
    <t>comerciales ($):</t>
  </si>
  <si>
    <t>Antes era 10</t>
  </si>
  <si>
    <t>Antes era 20</t>
  </si>
  <si>
    <t>comercio exterior (US$):</t>
  </si>
  <si>
    <t>vivienda (UF):</t>
  </si>
  <si>
    <t>nominales por tipo de deudor (2):</t>
  </si>
  <si>
    <t xml:space="preserve">(variación anual)    </t>
  </si>
  <si>
    <t xml:space="preserve">consumo:              </t>
  </si>
  <si>
    <t>comerciales:</t>
  </si>
  <si>
    <t>comercio exterior:</t>
  </si>
  <si>
    <t>vivienda:</t>
  </si>
  <si>
    <t>total:</t>
  </si>
  <si>
    <t>Agregados monetarios (3)</t>
  </si>
  <si>
    <t xml:space="preserve">M1:              </t>
  </si>
  <si>
    <t xml:space="preserve">M2:              </t>
  </si>
  <si>
    <t xml:space="preserve">M3:              </t>
  </si>
  <si>
    <t>Tasas de interés por tipo de</t>
  </si>
  <si>
    <t>deudor (1): WORK</t>
  </si>
  <si>
    <t xml:space="preserve">tarjetas de crédito consumo ($):        </t>
  </si>
  <si>
    <t xml:space="preserve">crédito en cuotas consumo ($):        </t>
  </si>
  <si>
    <t xml:space="preserve">sobregiros consumo ($):        </t>
  </si>
  <si>
    <t>crédito en cuotas comerciales ($):</t>
  </si>
  <si>
    <t>sobregiros comerciales ($):</t>
  </si>
  <si>
    <t>exportación</t>
  </si>
  <si>
    <t>importación</t>
  </si>
  <si>
    <t>Tasas de interés por plazo</t>
  </si>
  <si>
    <t xml:space="preserve">captación 30 a 89 días nominal </t>
  </si>
  <si>
    <t xml:space="preserve">captación 90 días a 1 año nominal </t>
  </si>
  <si>
    <t xml:space="preserve">captación 1 a 3 años nominal </t>
  </si>
  <si>
    <t xml:space="preserve">captación más de 3 años nominal </t>
  </si>
  <si>
    <t xml:space="preserve">colocación 30 a 89 días nominal </t>
  </si>
  <si>
    <t xml:space="preserve">colocación 90 días a 1 año nominal </t>
  </si>
  <si>
    <t xml:space="preserve">colocación 1 a 3 años nominal </t>
  </si>
  <si>
    <t xml:space="preserve">colocación más de 3 años nominal </t>
  </si>
  <si>
    <t xml:space="preserve">spread 30 a 89 días nominal </t>
  </si>
  <si>
    <t xml:space="preserve">spread 90 días a 1 año nominal </t>
  </si>
  <si>
    <t xml:space="preserve">spread 1 a 3 años nominal </t>
  </si>
  <si>
    <t xml:space="preserve">spread más de 3 años nominal </t>
  </si>
  <si>
    <t>FEB</t>
  </si>
  <si>
    <t>ENE</t>
  </si>
  <si>
    <t>DEC</t>
  </si>
  <si>
    <t>NOV</t>
  </si>
  <si>
    <t>OCT</t>
  </si>
  <si>
    <t>Sep</t>
  </si>
  <si>
    <t>En el mes</t>
  </si>
  <si>
    <t>mes subsiguiente</t>
  </si>
  <si>
    <t>11 meses</t>
  </si>
  <si>
    <t>23 meses</t>
  </si>
  <si>
    <t xml:space="preserve">Saldo de colocaciones 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</si>
  <si>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</si>
  <si>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</si>
  <si>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</si>
  <si>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</si>
  <si>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</si>
  <si>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</si>
  <si>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</si>
  <si>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</si>
  <si>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</si>
  <si>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</si>
  <si>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</si>
  <si>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</si>
  <si>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</si>
  <si>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</si>
  <si>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</si>
  <si>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</si>
  <si>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</si>
  <si>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</si>
  <si>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</si>
  <si>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</si>
  <si>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</si>
  <si>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</si>
  <si>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A1:A156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</si>
  <si>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</si>
  <si>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</si>
  <si>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</si>
  <si>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</si>
  <si>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</si>
  <si>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</si>
  <si>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</si>
  <si>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</si>
  <si>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</si>
  <si>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</si>
  <si>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A1:A192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</si>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</sst>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7" formatCode="0.000%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  <font>
      <sz val="12"/>
      <color theme="1"/>
      <name val="Utsaah"/>
      <family val="2"/>
    </font>
    <font>
      <sz val="14"/>
      <color theme="1"/>
      <name val="Utsaah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Utsaah"/>
      <family val="2"/>
    </font>
    <font>
      <sz val="11"/>
      <name val="Utsaah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87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170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0" fontId="23" fillId="0" borderId="0" xfId="0" applyFont="1" applyFill="1"/>
    <xf numFmtId="0" fontId="23" fillId="8" borderId="0" xfId="0" applyNumberFormat="1" applyFont="1" applyFill="1"/>
    <xf numFmtId="0" fontId="23" fillId="8" borderId="0" xfId="0" applyFont="1" applyFill="1"/>
    <xf numFmtId="17" fontId="23" fillId="0" borderId="0" xfId="0" applyNumberFormat="1" applyFont="1" applyFill="1"/>
    <xf numFmtId="0" fontId="23" fillId="0" borderId="0" xfId="0" applyFont="1" applyFill="1" applyAlignment="1">
      <alignment horizontal="center"/>
    </xf>
    <xf numFmtId="0" fontId="28" fillId="0" borderId="0" xfId="0" applyFont="1" applyFill="1" applyAlignment="1"/>
    <xf numFmtId="0" fontId="29" fillId="0" borderId="0" xfId="0" applyFont="1" applyFill="1" applyAlignment="1"/>
    <xf numFmtId="0" fontId="29" fillId="0" borderId="0" xfId="0" applyFont="1" applyFill="1" applyAlignment="1">
      <alignment horizontal="left"/>
    </xf>
    <xf numFmtId="0" fontId="30" fillId="0" borderId="0" xfId="0" applyFont="1" applyFill="1" applyBorder="1"/>
    <xf numFmtId="0" fontId="30" fillId="0" borderId="0" xfId="0" applyFont="1" applyFill="1"/>
    <xf numFmtId="0" fontId="30" fillId="8" borderId="0" xfId="0" applyFont="1" applyFill="1"/>
    <xf numFmtId="0" fontId="31" fillId="0" borderId="0" xfId="0" applyFont="1" applyFill="1"/>
    <xf numFmtId="0" fontId="28" fillId="0" borderId="0" xfId="0" applyFont="1" applyFill="1" applyAlignment="1">
      <alignment horizontal="left"/>
    </xf>
    <xf numFmtId="0" fontId="0" fillId="0" borderId="0" xfId="0" applyFont="1" applyFill="1"/>
    <xf numFmtId="0" fontId="32" fillId="0" borderId="0" xfId="0" applyFont="1" applyFill="1"/>
    <xf numFmtId="0" fontId="32" fillId="0" borderId="0" xfId="0" applyFont="1" applyFill="1" applyAlignment="1">
      <alignment horizontal="left"/>
    </xf>
    <xf numFmtId="0" fontId="23" fillId="0" borderId="0" xfId="0" applyFont="1" applyFill="1" applyBorder="1"/>
    <xf numFmtId="173" fontId="32" fillId="0" borderId="0" xfId="143" applyNumberFormat="1" applyFont="1" applyFill="1" applyAlignment="1">
      <alignment horizontal="right"/>
    </xf>
    <xf numFmtId="173" fontId="8" fillId="0" borderId="0" xfId="0" applyNumberFormat="1" applyFont="1" applyFill="1" applyAlignment="1">
      <alignment horizontal="center"/>
    </xf>
    <xf numFmtId="177" fontId="33" fillId="0" borderId="0" xfId="143" applyNumberFormat="1" applyFont="1" applyFill="1"/>
    <xf numFmtId="2" fontId="33" fillId="0" borderId="0" xfId="0" applyNumberFormat="1" applyFont="1" applyFill="1"/>
    <xf numFmtId="0" fontId="0" fillId="9" borderId="0" xfId="0" applyFont="1" applyFill="1"/>
    <xf numFmtId="173" fontId="0" fillId="0" borderId="0" xfId="0" applyNumberFormat="1" applyFill="1"/>
    <xf numFmtId="173" fontId="23" fillId="0" borderId="0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173" fontId="23" fillId="0" borderId="0" xfId="0" applyNumberFormat="1" applyFont="1" applyFill="1" applyBorder="1"/>
    <xf numFmtId="173" fontId="23" fillId="0" borderId="0" xfId="0" applyNumberFormat="1" applyFont="1" applyFill="1"/>
    <xf numFmtId="173" fontId="29" fillId="0" borderId="0" xfId="0" applyNumberFormat="1" applyFont="1" applyFill="1" applyAlignment="1"/>
    <xf numFmtId="173" fontId="30" fillId="0" borderId="0" xfId="0" applyNumberFormat="1" applyFont="1" applyFill="1" applyBorder="1"/>
    <xf numFmtId="173" fontId="29" fillId="0" borderId="0" xfId="0" applyNumberFormat="1" applyFont="1" applyFill="1" applyAlignment="1">
      <alignment horizontal="left"/>
    </xf>
    <xf numFmtId="173" fontId="32" fillId="0" borderId="0" xfId="0" applyNumberFormat="1" applyFont="1" applyFill="1" applyAlignment="1">
      <alignment horizontal="left"/>
    </xf>
    <xf numFmtId="2" fontId="23" fillId="0" borderId="0" xfId="0" applyNumberFormat="1" applyFont="1" applyFill="1"/>
    <xf numFmtId="164" fontId="33" fillId="0" borderId="0" xfId="142" applyFont="1" applyFill="1"/>
    <xf numFmtId="164" fontId="33" fillId="0" borderId="0" xfId="142" applyNumberFormat="1" applyFont="1" applyFill="1"/>
    <xf numFmtId="177" fontId="23" fillId="0" borderId="0" xfId="0" applyNumberFormat="1" applyFont="1" applyFill="1" applyAlignment="1">
      <alignment horizontal="left" indent="3"/>
    </xf>
    <xf numFmtId="164" fontId="32" fillId="0" borderId="0" xfId="142" applyFont="1" applyFill="1" applyAlignment="1">
      <alignment horizontal="right"/>
    </xf>
    <xf numFmtId="164" fontId="8" fillId="0" borderId="0" xfId="142" applyFont="1" applyFill="1" applyAlignment="1">
      <alignment horizontal="center"/>
    </xf>
    <xf numFmtId="164" fontId="0" fillId="0" borderId="0" xfId="142" applyFont="1" applyFill="1"/>
    <xf numFmtId="0" fontId="23" fillId="0" borderId="0" xfId="0" applyNumberFormat="1" applyFont="1" applyFill="1" applyBorder="1"/>
    <xf numFmtId="17" fontId="23" fillId="0" borderId="0" xfId="0" applyNumberFormat="1" applyFont="1" applyFill="1" applyBorder="1"/>
    <xf numFmtId="0" fontId="34" fillId="0" borderId="0" xfId="0" applyFont="1" applyFill="1" applyBorder="1" applyAlignment="1">
      <alignment horizontal="center" vertical="top" wrapText="1"/>
    </xf>
    <xf numFmtId="164" fontId="0" fillId="0" borderId="0" xfId="142" applyFont="1" applyFill="1" applyBorder="1"/>
    <xf numFmtId="0" fontId="34" fillId="0" borderId="15" xfId="0" applyFont="1" applyFill="1" applyBorder="1" applyAlignment="1">
      <alignment horizontal="center" vertical="top" wrapText="1"/>
    </xf>
    <xf numFmtId="0" fontId="34" fillId="0" borderId="10" xfId="0" applyFont="1" applyFill="1" applyBorder="1" applyAlignment="1">
      <alignment horizontal="center" vertical="top" wrapText="1"/>
    </xf>
    <xf numFmtId="0" fontId="23" fillId="0" borderId="0" xfId="0" applyNumberFormat="1" applyFont="1" applyFill="1"/>
    <xf numFmtId="17" fontId="32" fillId="0" borderId="0" xfId="143" applyNumberFormat="1" applyFont="1" applyFill="1" applyAlignment="1">
      <alignment horizontal="right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</cellXfs>
  <cellStyles count="151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4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6" xr:uid="{00000000-0005-0000-0000-000015000000}"/>
    <cellStyle name="Normal 2 3" xfId="19" xr:uid="{00000000-0005-0000-0000-000016000000}"/>
    <cellStyle name="Normal 2 4" xfId="20" xr:uid="{00000000-0005-0000-0000-000017000000}"/>
    <cellStyle name="Normal 2 5" xfId="145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7" xr:uid="{00000000-0005-0000-0000-00001C000000}"/>
    <cellStyle name="Normal 4" xfId="24" xr:uid="{00000000-0005-0000-0000-00001D000000}"/>
    <cellStyle name="Normal 4 2" xfId="148" xr:uid="{00000000-0005-0000-0000-00001E000000}"/>
    <cellStyle name="Normal 5" xfId="25" xr:uid="{00000000-0005-0000-0000-00001F000000}"/>
    <cellStyle name="Normal 5 2" xfId="149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3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50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0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0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0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0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-14.421974883828881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-0.90119203104956114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0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6.2012104409346733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0.75114058859719535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18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6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0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-28.187870292823987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3.2674973080741836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30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15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0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7.9421745075621004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0.81656102250475726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4"/>
      </c:valAx>
      <c:valAx>
        <c:axId val="738340448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5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0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18.247100723700786</c:v>
                </c:pt>
                <c:pt idx="167">
                  <c:v>17.808714985617744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0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11.939269082708114</c:v>
                </c:pt>
                <c:pt idx="167">
                  <c:v>14.480577708840226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13.753386092649546</c:v>
                </c:pt>
                <c:pt idx="167">
                  <c:v>19.139960106509111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53.915955657430715</c:v>
                </c:pt>
                <c:pt idx="167">
                  <c:v>63.632600033881715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2.4467943760396436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2.9299540106000501</c:v>
                </c:pt>
                <c:pt idx="167">
                  <c:v>4.8036551488853876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1.3232902325983662</c:v>
                </c:pt>
                <c:pt idx="167">
                  <c:v>0.91217938310190105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3.4131846370008337E-2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1.0562400032483845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-1.8108707324292284</c:v>
                </c:pt>
                <c:pt idx="167">
                  <c:v>-2.0396771329046293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6.7429288452894696</c:v>
                </c:pt>
                <c:pt idx="167">
                  <c:v>6.9220424987851601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15.086267078946763</c:v>
                </c:pt>
                <c:pt idx="167">
                  <c:v>17.723622701382531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4.7512586878418857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0.12657472823932903</c:v>
                </c:pt>
                <c:pt idx="167">
                  <c:v>0.1187806448370515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0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0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0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4.9388729528318862</c:v>
                </c:pt>
                <c:pt idx="167">
                  <c:v>8.1464811550555112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4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0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7.9421745075621004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0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6.2012104409346733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0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-14.421974883828881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0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2.4637706436529783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0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-28.187870292823987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3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6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original'!$BM$8:$BM$493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0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0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0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0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53.915955657430715</c:v>
                </c:pt>
                <c:pt idx="179">
                  <c:v>63.632600033881715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0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4.9388729528318862</c:v>
                </c:pt>
                <c:pt idx="179">
                  <c:v>8.1464811550555112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0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6.7429288452894696</c:v>
                </c:pt>
                <c:pt idx="179">
                  <c:v>6.9220424987851601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197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85739282589675E-2"/>
          <c:y val="5.1400554097404488E-2"/>
          <c:w val="0.88255293088363951"/>
          <c:h val="0.69278142315543889"/>
        </c:manualLayout>
      </c:layout>
      <c:lineChart>
        <c:grouping val="standard"/>
        <c:varyColors val="0"/>
        <c:ser>
          <c:idx val="0"/>
          <c:order val="0"/>
          <c:tx>
            <c:strRef>
              <c:f>Tablas!$C$59</c:f>
              <c:strCache>
                <c:ptCount val="1"/>
                <c:pt idx="0">
                  <c:v>FEB</c:v>
                </c:pt>
              </c:strCache>
            </c:strRef>
          </c:tx>
          <c:marker>
            <c:symbol val="none"/>
          </c:marker>
          <c:cat>
            <c:strRef>
              <c:f>Tablas!$B$60:$B$62</c:f>
              <c:strCache>
                <c:ptCount val="3"/>
                <c:pt idx="0">
                  <c:v>30 a 89 días nominal</c:v>
                </c:pt>
                <c:pt idx="1">
                  <c:v>90 días a 1 año nominal</c:v>
                </c:pt>
                <c:pt idx="2">
                  <c:v>1 a 3 años nominal</c:v>
                </c:pt>
              </c:strCache>
            </c:strRef>
          </c:cat>
          <c:val>
            <c:numRef>
              <c:f>Tablas!$C$60:$C$62</c:f>
              <c:numCache>
                <c:formatCode>General</c:formatCode>
                <c:ptCount val="3"/>
                <c:pt idx="0">
                  <c:v>2.88</c:v>
                </c:pt>
                <c:pt idx="1">
                  <c:v>3.24</c:v>
                </c:pt>
                <c:pt idx="2">
                  <c:v>3.5999999999999996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A-48DA-A65E-031AAD46C731}"/>
            </c:ext>
          </c:extLst>
        </c:ser>
        <c:ser>
          <c:idx val="2"/>
          <c:order val="1"/>
          <c:tx>
            <c:strRef>
              <c:f>Tablas!$E$59</c:f>
              <c:strCache>
                <c:ptCount val="1"/>
                <c:pt idx="0">
                  <c:v>DEC</c:v>
                </c:pt>
              </c:strCache>
            </c:strRef>
          </c:tx>
          <c:marker>
            <c:symbol val="none"/>
          </c:marker>
          <c:cat>
            <c:strRef>
              <c:f>Tablas!$B$60:$B$62</c:f>
              <c:strCache>
                <c:ptCount val="3"/>
                <c:pt idx="0">
                  <c:v>30 a 89 días nominal</c:v>
                </c:pt>
                <c:pt idx="1">
                  <c:v>90 días a 1 año nominal</c:v>
                </c:pt>
                <c:pt idx="2">
                  <c:v>1 a 3 años nominal</c:v>
                </c:pt>
              </c:strCache>
            </c:strRef>
          </c:cat>
          <c:val>
            <c:numRef>
              <c:f>Tablas!$E$60:$E$62</c:f>
              <c:numCache>
                <c:formatCode>_-* #,##0.00_-;\-* #,##0.00_-;_-* "-"??_-;_-@_-</c:formatCode>
                <c:ptCount val="3"/>
                <c:pt idx="0">
                  <c:v>2.88</c:v>
                </c:pt>
                <c:pt idx="1">
                  <c:v>3.4799999999999995</c:v>
                </c:pt>
                <c:pt idx="2">
                  <c:v>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A-48DA-A65E-031AAD46C731}"/>
            </c:ext>
          </c:extLst>
        </c:ser>
        <c:ser>
          <c:idx val="3"/>
          <c:order val="2"/>
          <c:tx>
            <c:strRef>
              <c:f>Tablas!$D$59</c:f>
              <c:strCache>
                <c:ptCount val="1"/>
                <c:pt idx="0">
                  <c:v>ENE</c:v>
                </c:pt>
              </c:strCache>
            </c:strRef>
          </c:tx>
          <c:marker>
            <c:symbol val="none"/>
          </c:marker>
          <c:cat>
            <c:strRef>
              <c:f>Tablas!$B$60:$B$62</c:f>
              <c:strCache>
                <c:ptCount val="3"/>
                <c:pt idx="0">
                  <c:v>30 a 89 días nominal</c:v>
                </c:pt>
                <c:pt idx="1">
                  <c:v>90 días a 1 año nominal</c:v>
                </c:pt>
                <c:pt idx="2">
                  <c:v>1 a 3 años nominal</c:v>
                </c:pt>
              </c:strCache>
            </c:strRef>
          </c:cat>
          <c:val>
            <c:numRef>
              <c:f>Tablas!$D$60:$D$62</c:f>
              <c:numCache>
                <c:formatCode>General</c:formatCode>
                <c:ptCount val="3"/>
                <c:pt idx="0">
                  <c:v>2.7600000000000002</c:v>
                </c:pt>
                <c:pt idx="1">
                  <c:v>3.24</c:v>
                </c:pt>
                <c:pt idx="2">
                  <c:v>3.7199999999999998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A-48DA-A65E-031AAD46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65928"/>
        <c:axId val="738360440"/>
      </c:lineChart>
      <c:catAx>
        <c:axId val="73836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8360440"/>
        <c:crosses val="autoZero"/>
        <c:auto val="1"/>
        <c:lblAlgn val="ctr"/>
        <c:lblOffset val="100"/>
        <c:noMultiLvlLbl val="0"/>
      </c:catAx>
      <c:valAx>
        <c:axId val="738360440"/>
        <c:scaling>
          <c:orientation val="minMax"/>
          <c:max val="4.5"/>
          <c:min val="2.5"/>
        </c:scaling>
        <c:delete val="0"/>
        <c:axPos val="l"/>
        <c:numFmt formatCode="#,##0.00" sourceLinked="0"/>
        <c:majorTickMark val="out"/>
        <c:minorTickMark val="none"/>
        <c:tickLblPos val="nextTo"/>
        <c:crossAx val="738365928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9230533683289586"/>
          <c:y val="0.87423228346456694"/>
          <c:w val="0.64380577427821517"/>
          <c:h val="0.1219058034412364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85739282589675E-2"/>
          <c:y val="5.1400554097404488E-2"/>
          <c:w val="0.88255293088363951"/>
          <c:h val="0.69278142315543889"/>
        </c:manualLayout>
      </c:layout>
      <c:lineChart>
        <c:grouping val="standard"/>
        <c:varyColors val="0"/>
        <c:ser>
          <c:idx val="0"/>
          <c:order val="0"/>
          <c:tx>
            <c:strRef>
              <c:f>Tablas!$C$65</c:f>
              <c:strCache>
                <c:ptCount val="1"/>
                <c:pt idx="0">
                  <c:v>Sep</c:v>
                </c:pt>
              </c:strCache>
            </c:strRef>
          </c:tx>
          <c:marker>
            <c:symbol val="none"/>
          </c:marker>
          <c:cat>
            <c:strRef>
              <c:f>Tablas!$B$66:$B$69</c:f>
              <c:strCache>
                <c:ptCount val="4"/>
                <c:pt idx="0">
                  <c:v>En el mes</c:v>
                </c:pt>
                <c:pt idx="1">
                  <c:v>mes subsiguiente</c:v>
                </c:pt>
                <c:pt idx="2">
                  <c:v>11 meses</c:v>
                </c:pt>
                <c:pt idx="3">
                  <c:v>23 meses</c:v>
                </c:pt>
              </c:strCache>
            </c:strRef>
          </c:cat>
          <c:val>
            <c:numRef>
              <c:f>Tablas!$C$66:$C$69</c:f>
              <c:numCache>
                <c:formatCode>General</c:formatCode>
                <c:ptCount val="4"/>
                <c:pt idx="0">
                  <c:v>2.5</c:v>
                </c:pt>
                <c:pt idx="1">
                  <c:v>2.75</c:v>
                </c:pt>
                <c:pt idx="2">
                  <c:v>3.25</c:v>
                </c:pt>
                <c:pt idx="3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4-42D9-85AB-DDEEF3E0B5C8}"/>
            </c:ext>
          </c:extLst>
        </c:ser>
        <c:ser>
          <c:idx val="1"/>
          <c:order val="1"/>
          <c:tx>
            <c:strRef>
              <c:f>Tablas!$D$65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Tablas!$B$66:$B$69</c:f>
              <c:strCache>
                <c:ptCount val="4"/>
                <c:pt idx="0">
                  <c:v>En el mes</c:v>
                </c:pt>
                <c:pt idx="1">
                  <c:v>mes subsiguiente</c:v>
                </c:pt>
                <c:pt idx="2">
                  <c:v>11 meses</c:v>
                </c:pt>
                <c:pt idx="3">
                  <c:v>23 meses</c:v>
                </c:pt>
              </c:strCache>
            </c:strRef>
          </c:cat>
          <c:val>
            <c:numRef>
              <c:f>Tablas!$D$66:$D$69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4-42D9-85AB-DDEEF3E0B5C8}"/>
            </c:ext>
          </c:extLst>
        </c:ser>
        <c:ser>
          <c:idx val="2"/>
          <c:order val="2"/>
          <c:tx>
            <c:strRef>
              <c:f>Tablas!$E$59</c:f>
              <c:strCache>
                <c:ptCount val="1"/>
                <c:pt idx="0">
                  <c:v>DEC</c:v>
                </c:pt>
              </c:strCache>
            </c:strRef>
          </c:tx>
          <c:marker>
            <c:symbol val="none"/>
          </c:marker>
          <c:cat>
            <c:strRef>
              <c:f>Tablas!$B$66:$B$69</c:f>
              <c:strCache>
                <c:ptCount val="4"/>
                <c:pt idx="0">
                  <c:v>En el mes</c:v>
                </c:pt>
                <c:pt idx="1">
                  <c:v>mes subsiguiente</c:v>
                </c:pt>
                <c:pt idx="2">
                  <c:v>11 meses</c:v>
                </c:pt>
                <c:pt idx="3">
                  <c:v>23 meses</c:v>
                </c:pt>
              </c:strCache>
            </c:strRef>
          </c:cat>
          <c:val>
            <c:numRef>
              <c:f>Tablas!#REF!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4-42D9-85AB-DDEEF3E0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59264"/>
        <c:axId val="738362008"/>
      </c:lineChart>
      <c:catAx>
        <c:axId val="73835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8362008"/>
        <c:crosses val="autoZero"/>
        <c:auto val="1"/>
        <c:lblAlgn val="ctr"/>
        <c:lblOffset val="100"/>
        <c:noMultiLvlLbl val="0"/>
      </c:catAx>
      <c:valAx>
        <c:axId val="738362008"/>
        <c:scaling>
          <c:orientation val="minMax"/>
          <c:max val="4.5"/>
          <c:min val="2"/>
        </c:scaling>
        <c:delete val="0"/>
        <c:axPos val="l"/>
        <c:numFmt formatCode="#,##0.00" sourceLinked="0"/>
        <c:majorTickMark val="out"/>
        <c:minorTickMark val="none"/>
        <c:tickLblPos val="nextTo"/>
        <c:crossAx val="73835926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230533683289586"/>
          <c:y val="0.87423228346456694"/>
          <c:w val="0.64380577427821517"/>
          <c:h val="0.1219058034412364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95250</xdr:colOff>
      <xdr:row>2</xdr:row>
      <xdr:rowOff>95250</xdr:rowOff>
    </xdr:from>
    <xdr:to>
      <xdr:col>0</xdr:col>
      <xdr:colOff>709083</xdr:colOff>
      <xdr:row>3</xdr:row>
      <xdr:rowOff>158751</xdr:rowOff>
    </xdr:to>
    <xdr:sp macro="[0]!Fechas" textlink="">
      <xdr:nvSpPr>
        <xdr:cNvPr id="23" name="22 Rectángul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95250" y="476250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Superintendencia de Bancos e Instituciones Financieras, Superintendencia de Pensiones, Comisión para el Mercado Financiero;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739140</xdr:colOff>
      <xdr:row>70</xdr:row>
      <xdr:rowOff>129540</xdr:rowOff>
    </xdr:from>
    <xdr:to>
      <xdr:col>6</xdr:col>
      <xdr:colOff>83820</xdr:colOff>
      <xdr:row>84</xdr:row>
      <xdr:rowOff>60960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624840</xdr:colOff>
      <xdr:row>67</xdr:row>
      <xdr:rowOff>160020</xdr:rowOff>
    </xdr:from>
    <xdr:to>
      <xdr:col>11</xdr:col>
      <xdr:colOff>441960</xdr:colOff>
      <xdr:row>81</xdr:row>
      <xdr:rowOff>91440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16"/>
  <sheetViews>
    <sheetView showGridLines="0" zoomScaleNormal="100" workbookViewId="0">
      <pane xSplit="1" ySplit="7" topLeftCell="B185" activePane="bottomRight" state="frozen"/>
      <selection pane="topRight" activeCell="B1" sqref="B1"/>
      <selection pane="bottomLeft" activeCell="A8" sqref="A8"/>
      <selection pane="bottomRight" activeCell="D200" sqref="D200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40" width="11.5703125" style="2" bestFit="1" customWidth="1"/>
    <col min="41" max="45" width="11.5703125" style="2" customWidth="1"/>
    <col min="46" max="46" width="11.5703125" style="2" bestFit="1" customWidth="1"/>
    <col min="47" max="47" width="11.7109375" style="2" bestFit="1" customWidth="1"/>
    <col min="48" max="48" width="11.5703125" style="2" bestFit="1" customWidth="1"/>
    <col min="49" max="49" width="11.7109375" style="2" bestFit="1" customWidth="1"/>
    <col min="50" max="52" width="11.5703125" style="2" bestFit="1" customWidth="1"/>
    <col min="53" max="53" width="11.7109375" style="2" bestFit="1" customWidth="1"/>
    <col min="54" max="54" width="11.5703125" style="2" bestFit="1" customWidth="1"/>
    <col min="55" max="56" width="12.42578125" style="2" bestFit="1" customWidth="1"/>
    <col min="57" max="62" width="11.5703125" style="2" bestFit="1" customWidth="1"/>
    <col min="63" max="63" width="11.5703125" style="2" customWidth="1"/>
    <col min="64" max="71" width="15.7109375" style="2" customWidth="1"/>
    <col min="72" max="16384" width="11.42578125" style="2"/>
  </cols>
  <sheetData>
    <row r="1" spans="1:71" ht="33" customHeight="1" x14ac:dyDescent="0.35">
      <c r="B1" s="162" t="s">
        <v>128</v>
      </c>
      <c r="C1" s="162"/>
      <c r="D1" s="162"/>
      <c r="E1" s="162"/>
      <c r="F1" s="162"/>
      <c r="G1" s="167" t="s">
        <v>129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8"/>
      <c r="AF1" s="169"/>
      <c r="AG1" s="165" t="s">
        <v>130</v>
      </c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48"/>
      <c r="BL1" s="162" t="s">
        <v>145</v>
      </c>
      <c r="BM1" s="162"/>
      <c r="BN1" s="162"/>
      <c r="BO1" s="162"/>
      <c r="BP1" s="162"/>
      <c r="BQ1" s="162"/>
      <c r="BR1" s="162"/>
      <c r="BS1" s="162"/>
    </row>
    <row r="2" spans="1:71" s="4" customFormat="1" ht="18.75" customHeight="1" x14ac:dyDescent="0.25">
      <c r="A2" s="3"/>
      <c r="B2" s="166" t="s">
        <v>44</v>
      </c>
      <c r="C2" s="166"/>
      <c r="D2" s="166"/>
      <c r="E2" s="166"/>
      <c r="F2" s="166"/>
      <c r="G2" s="170" t="s">
        <v>90</v>
      </c>
      <c r="H2" s="171"/>
      <c r="I2" s="166"/>
      <c r="J2" s="166"/>
      <c r="K2" s="166"/>
      <c r="L2" s="166"/>
      <c r="M2" s="166"/>
      <c r="N2" s="166"/>
      <c r="O2" s="166"/>
      <c r="P2" s="166"/>
      <c r="Q2" s="151" t="s">
        <v>136</v>
      </c>
      <c r="R2" s="166"/>
      <c r="S2" s="166"/>
      <c r="T2" s="166"/>
      <c r="U2" s="166"/>
      <c r="V2" s="166"/>
      <c r="W2" s="166"/>
      <c r="X2" s="152"/>
      <c r="Y2" s="170" t="s">
        <v>135</v>
      </c>
      <c r="Z2" s="171"/>
      <c r="AA2" s="166"/>
      <c r="AB2" s="166"/>
      <c r="AC2" s="166"/>
      <c r="AD2" s="166"/>
      <c r="AE2" s="151" t="s">
        <v>93</v>
      </c>
      <c r="AF2" s="152"/>
      <c r="AG2" s="166" t="s">
        <v>37</v>
      </c>
      <c r="AH2" s="166"/>
      <c r="AI2" s="166"/>
      <c r="AJ2" s="166"/>
      <c r="AK2" s="166"/>
      <c r="AL2" s="166"/>
      <c r="AM2" s="152"/>
      <c r="AN2" s="151" t="s">
        <v>38</v>
      </c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52"/>
      <c r="AZ2" s="151" t="s">
        <v>41</v>
      </c>
      <c r="BA2" s="166"/>
      <c r="BB2" s="166"/>
      <c r="BC2" s="166"/>
      <c r="BD2" s="166"/>
      <c r="BE2" s="166"/>
      <c r="BF2" s="166"/>
      <c r="BG2" s="166"/>
      <c r="BH2" s="166"/>
      <c r="BI2" s="166"/>
      <c r="BJ2" s="152"/>
      <c r="BK2" s="49"/>
      <c r="BL2" s="163" t="s">
        <v>68</v>
      </c>
      <c r="BM2" s="164"/>
      <c r="BN2" s="163" t="s">
        <v>69</v>
      </c>
      <c r="BO2" s="164"/>
      <c r="BP2" s="163" t="s">
        <v>70</v>
      </c>
      <c r="BQ2" s="164"/>
      <c r="BR2" s="163" t="s">
        <v>71</v>
      </c>
      <c r="BS2" s="164"/>
    </row>
    <row r="3" spans="1:71" s="4" customFormat="1" ht="51" x14ac:dyDescent="0.25">
      <c r="A3" s="3"/>
      <c r="B3" s="40" t="s">
        <v>97</v>
      </c>
      <c r="C3" s="40" t="s">
        <v>42</v>
      </c>
      <c r="D3" s="40" t="s">
        <v>36</v>
      </c>
      <c r="E3" s="40" t="s">
        <v>112</v>
      </c>
      <c r="F3" s="43" t="s">
        <v>43</v>
      </c>
      <c r="G3" s="147" t="s">
        <v>131</v>
      </c>
      <c r="H3" s="148"/>
      <c r="I3" s="147" t="s">
        <v>137</v>
      </c>
      <c r="J3" s="153"/>
      <c r="K3" s="153" t="s">
        <v>138</v>
      </c>
      <c r="L3" s="153"/>
      <c r="M3" s="153" t="s">
        <v>139</v>
      </c>
      <c r="N3" s="153"/>
      <c r="O3" s="153" t="s">
        <v>140</v>
      </c>
      <c r="P3" s="148"/>
      <c r="Q3" s="149" t="s">
        <v>97</v>
      </c>
      <c r="R3" s="150"/>
      <c r="S3" s="147" t="s">
        <v>141</v>
      </c>
      <c r="T3" s="153"/>
      <c r="U3" s="153" t="s">
        <v>139</v>
      </c>
      <c r="V3" s="153"/>
      <c r="W3" s="153" t="s">
        <v>140</v>
      </c>
      <c r="X3" s="148"/>
      <c r="Y3" s="147" t="s">
        <v>134</v>
      </c>
      <c r="Z3" s="148"/>
      <c r="AA3" s="147" t="s">
        <v>142</v>
      </c>
      <c r="AB3" s="153"/>
      <c r="AC3" s="153" t="s">
        <v>143</v>
      </c>
      <c r="AD3" s="148"/>
      <c r="AE3" s="42"/>
      <c r="AF3" s="41"/>
      <c r="AG3" s="40" t="s">
        <v>46</v>
      </c>
      <c r="AH3" s="40" t="s">
        <v>47</v>
      </c>
      <c r="AI3" s="40" t="s">
        <v>48</v>
      </c>
      <c r="AJ3" s="40" t="s">
        <v>333</v>
      </c>
      <c r="AK3" s="40" t="s">
        <v>334</v>
      </c>
      <c r="AL3" s="40" t="s">
        <v>49</v>
      </c>
      <c r="AM3" s="41" t="s">
        <v>37</v>
      </c>
      <c r="AN3" s="42" t="s">
        <v>306</v>
      </c>
      <c r="AO3" s="40" t="s">
        <v>305</v>
      </c>
      <c r="AP3" s="40" t="s">
        <v>307</v>
      </c>
      <c r="AQ3" s="40" t="s">
        <v>308</v>
      </c>
      <c r="AR3" s="40" t="s">
        <v>335</v>
      </c>
      <c r="AS3" s="40" t="s">
        <v>309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50"/>
      <c r="BL3" s="80" t="s">
        <v>68</v>
      </c>
      <c r="BM3" s="81"/>
      <c r="BN3" s="80" t="s">
        <v>69</v>
      </c>
      <c r="BO3" s="81"/>
      <c r="BP3" s="82" t="s">
        <v>70</v>
      </c>
      <c r="BQ3" s="83"/>
      <c r="BR3" s="80" t="s">
        <v>71</v>
      </c>
      <c r="BS3" s="44"/>
    </row>
    <row r="4" spans="1:71" s="4" customFormat="1" x14ac:dyDescent="0.25">
      <c r="A4" s="3"/>
      <c r="B4" s="40"/>
      <c r="C4" s="40"/>
      <c r="D4" s="40"/>
      <c r="E4" s="146"/>
      <c r="F4" s="40"/>
      <c r="G4" s="42" t="s">
        <v>132</v>
      </c>
      <c r="H4" s="40" t="s">
        <v>133</v>
      </c>
      <c r="I4" s="42" t="s">
        <v>132</v>
      </c>
      <c r="J4" s="40" t="s">
        <v>133</v>
      </c>
      <c r="K4" s="40" t="s">
        <v>132</v>
      </c>
      <c r="L4" s="40" t="s">
        <v>133</v>
      </c>
      <c r="M4" s="40" t="s">
        <v>132</v>
      </c>
      <c r="N4" s="40" t="s">
        <v>133</v>
      </c>
      <c r="O4" s="40" t="s">
        <v>132</v>
      </c>
      <c r="P4" s="40" t="s">
        <v>133</v>
      </c>
      <c r="Q4" s="42" t="s">
        <v>132</v>
      </c>
      <c r="R4" s="41" t="s">
        <v>133</v>
      </c>
      <c r="S4" s="40" t="s">
        <v>132</v>
      </c>
      <c r="T4" s="40" t="s">
        <v>133</v>
      </c>
      <c r="U4" s="40" t="s">
        <v>132</v>
      </c>
      <c r="V4" s="40" t="s">
        <v>133</v>
      </c>
      <c r="W4" s="40" t="s">
        <v>132</v>
      </c>
      <c r="X4" s="41" t="s">
        <v>133</v>
      </c>
      <c r="Y4" s="42" t="s">
        <v>132</v>
      </c>
      <c r="Z4" s="41" t="s">
        <v>133</v>
      </c>
      <c r="AA4" s="40" t="s">
        <v>132</v>
      </c>
      <c r="AB4" s="40" t="s">
        <v>133</v>
      </c>
      <c r="AC4" s="40" t="s">
        <v>132</v>
      </c>
      <c r="AD4" s="40" t="s">
        <v>133</v>
      </c>
      <c r="AE4" s="42" t="s">
        <v>132</v>
      </c>
      <c r="AF4" s="41" t="s">
        <v>133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50"/>
      <c r="BL4" s="42" t="s">
        <v>132</v>
      </c>
      <c r="BM4" s="41" t="s">
        <v>133</v>
      </c>
      <c r="BN4" s="42" t="s">
        <v>132</v>
      </c>
      <c r="BO4" s="41" t="s">
        <v>133</v>
      </c>
      <c r="BP4" s="42" t="s">
        <v>132</v>
      </c>
      <c r="BQ4" s="41" t="s">
        <v>133</v>
      </c>
      <c r="BR4" s="42" t="s">
        <v>132</v>
      </c>
      <c r="BS4" s="41" t="s">
        <v>133</v>
      </c>
    </row>
    <row r="5" spans="1:71" s="4" customFormat="1" ht="15" customHeight="1" x14ac:dyDescent="0.25">
      <c r="A5" s="3"/>
      <c r="B5" s="154" t="s">
        <v>113</v>
      </c>
      <c r="C5" s="155"/>
      <c r="D5" s="155"/>
      <c r="E5" s="155"/>
      <c r="F5" s="156"/>
      <c r="G5" s="154" t="s">
        <v>144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6"/>
      <c r="AG5" s="154" t="s">
        <v>113</v>
      </c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6"/>
      <c r="BL5" s="154" t="s">
        <v>114</v>
      </c>
      <c r="BM5" s="155"/>
      <c r="BN5" s="155"/>
      <c r="BO5" s="155"/>
      <c r="BP5" s="155"/>
      <c r="BQ5" s="155"/>
      <c r="BR5" s="155"/>
      <c r="BS5" s="156"/>
    </row>
    <row r="6" spans="1:71" s="4" customFormat="1" ht="15" customHeight="1" x14ac:dyDescent="0.25">
      <c r="A6" s="3"/>
      <c r="B6" s="157" t="s">
        <v>101</v>
      </c>
      <c r="C6" s="158"/>
      <c r="D6" s="158"/>
      <c r="E6" s="158"/>
      <c r="F6" s="159"/>
      <c r="G6" s="160" t="s">
        <v>99</v>
      </c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1"/>
      <c r="AG6" s="157" t="s">
        <v>99</v>
      </c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9"/>
      <c r="BL6" s="157" t="s">
        <v>99</v>
      </c>
      <c r="BM6" s="158"/>
      <c r="BN6" s="158"/>
      <c r="BO6" s="158"/>
      <c r="BP6" s="158"/>
      <c r="BQ6" s="158"/>
      <c r="BR6" s="158"/>
      <c r="BS6" s="159"/>
    </row>
    <row r="7" spans="1:71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160</v>
      </c>
      <c r="I7" s="7" t="s">
        <v>173</v>
      </c>
      <c r="J7" s="7" t="s">
        <v>170</v>
      </c>
      <c r="K7" s="7" t="s">
        <v>172</v>
      </c>
      <c r="L7" s="7" t="s">
        <v>169</v>
      </c>
      <c r="M7" s="7" t="s">
        <v>122</v>
      </c>
      <c r="N7" s="7" t="s">
        <v>167</v>
      </c>
      <c r="O7" s="7" t="s">
        <v>123</v>
      </c>
      <c r="P7" s="7" t="s">
        <v>168</v>
      </c>
      <c r="Q7" s="18" t="s">
        <v>6</v>
      </c>
      <c r="R7" s="21" t="s">
        <v>158</v>
      </c>
      <c r="S7" s="7" t="s">
        <v>171</v>
      </c>
      <c r="T7" s="7" t="s">
        <v>164</v>
      </c>
      <c r="U7" s="7" t="s">
        <v>124</v>
      </c>
      <c r="V7" s="7" t="s">
        <v>162</v>
      </c>
      <c r="W7" s="7" t="s">
        <v>125</v>
      </c>
      <c r="X7" s="7" t="s">
        <v>163</v>
      </c>
      <c r="Y7" s="18" t="s">
        <v>7</v>
      </c>
      <c r="Z7" s="21" t="s">
        <v>159</v>
      </c>
      <c r="AA7" s="7" t="s">
        <v>126</v>
      </c>
      <c r="AB7" s="7" t="s">
        <v>165</v>
      </c>
      <c r="AC7" s="7" t="s">
        <v>127</v>
      </c>
      <c r="AD7" s="7" t="s">
        <v>166</v>
      </c>
      <c r="AE7" s="18" t="s">
        <v>8</v>
      </c>
      <c r="AF7" s="21" t="s">
        <v>161</v>
      </c>
      <c r="AG7" s="7" t="s">
        <v>13</v>
      </c>
      <c r="AH7" s="7" t="s">
        <v>14</v>
      </c>
      <c r="AI7" s="7" t="s">
        <v>15</v>
      </c>
      <c r="AJ7" s="7" t="s">
        <v>303</v>
      </c>
      <c r="AK7" s="7" t="s">
        <v>304</v>
      </c>
      <c r="AL7" s="7" t="s">
        <v>16</v>
      </c>
      <c r="AM7" s="8" t="s">
        <v>17</v>
      </c>
      <c r="AN7" s="14" t="s">
        <v>18</v>
      </c>
      <c r="AO7" s="7" t="s">
        <v>310</v>
      </c>
      <c r="AP7" s="7" t="s">
        <v>311</v>
      </c>
      <c r="AQ7" s="7" t="s">
        <v>312</v>
      </c>
      <c r="AR7" s="7" t="s">
        <v>313</v>
      </c>
      <c r="AS7" s="7" t="s">
        <v>314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7" t="s">
        <v>155</v>
      </c>
      <c r="BN7" s="17" t="s">
        <v>10</v>
      </c>
      <c r="BO7" s="17" t="s">
        <v>156</v>
      </c>
      <c r="BP7" s="17" t="s">
        <v>11</v>
      </c>
      <c r="BQ7" s="17" t="s">
        <v>154</v>
      </c>
      <c r="BR7" s="17" t="s">
        <v>12</v>
      </c>
      <c r="BS7" s="21" t="s">
        <v>157</v>
      </c>
    </row>
    <row r="8" spans="1:71" s="5" customFormat="1" x14ac:dyDescent="0.25">
      <c r="A8" s="20">
        <v>38718</v>
      </c>
      <c r="B8" s="52" t="e">
        <v>#NAME?</v>
      </c>
      <c r="C8" s="52" t="e">
        <v>#NAME?</v>
      </c>
      <c r="D8" s="52" t="e">
        <v>#NAME?</v>
      </c>
      <c r="E8" s="53" t="e">
        <v>#NAME?</v>
      </c>
      <c r="F8" s="52" t="e">
        <v>#NAME?</v>
      </c>
      <c r="G8" s="15" t="e">
        <v>#NAME?</v>
      </c>
      <c r="H8" s="9" t="e">
        <v>#NAME?</v>
      </c>
      <c r="I8" s="12" t="e">
        <v>#NAME?</v>
      </c>
      <c r="J8" s="12" t="e">
        <v>#NAME?</v>
      </c>
      <c r="K8" s="12" t="e">
        <v>#NAME?</v>
      </c>
      <c r="L8" s="12" t="e">
        <v>#NAME?</v>
      </c>
      <c r="M8" s="52" t="e">
        <v>#NAME?</v>
      </c>
      <c r="N8" s="52" t="e">
        <v>#NAME?</v>
      </c>
      <c r="O8" s="52" t="e">
        <v>#NAME?</v>
      </c>
      <c r="P8" s="52" t="e">
        <v>#NAME?</v>
      </c>
      <c r="Q8" s="15" t="e">
        <v>#NAME?</v>
      </c>
      <c r="R8" s="9" t="e">
        <v>#NAME?</v>
      </c>
      <c r="S8" s="12" t="e">
        <v>#NAME?</v>
      </c>
      <c r="T8" s="12" t="e">
        <v>#NAME?</v>
      </c>
      <c r="U8" s="52" t="e">
        <v>#NAME?</v>
      </c>
      <c r="V8" s="52" t="e">
        <v>#NAME?</v>
      </c>
      <c r="W8" s="52" t="e">
        <v>#NAME?</v>
      </c>
      <c r="X8" s="52" t="e">
        <v>#NAME?</v>
      </c>
      <c r="Y8" s="15" t="e">
        <v>#NAME?</v>
      </c>
      <c r="Z8" s="9" t="e">
        <v>#NAME?</v>
      </c>
      <c r="AA8" s="52" t="e">
        <v>#NAME?</v>
      </c>
      <c r="AB8" s="52" t="e">
        <v>#NAME?</v>
      </c>
      <c r="AC8" s="52" t="e">
        <v>#NAME?</v>
      </c>
      <c r="AD8" s="52" t="e">
        <v>#NAME?</v>
      </c>
      <c r="AE8" s="15" t="e">
        <v>#NAME?</v>
      </c>
      <c r="AF8" s="9" t="e">
        <v>#NAME?</v>
      </c>
      <c r="AG8" s="52" t="e">
        <v>#NAME?</v>
      </c>
      <c r="AH8" s="52" t="e">
        <v>#NAME?</v>
      </c>
      <c r="AI8" s="52" t="e">
        <v>#NAME?</v>
      </c>
      <c r="AJ8" s="52"/>
      <c r="AK8" s="52"/>
      <c r="AL8" s="52" t="e">
        <v>#NAME?</v>
      </c>
      <c r="AM8" s="53" t="e">
        <v>#NAME?</v>
      </c>
      <c r="AN8" s="52" t="e">
        <v>#NAME?</v>
      </c>
      <c r="AO8" s="52"/>
      <c r="AP8" s="52"/>
      <c r="AQ8" s="52"/>
      <c r="AR8" s="52"/>
      <c r="AS8" s="52"/>
      <c r="AT8" s="52" t="e">
        <v>#NAME?</v>
      </c>
      <c r="AU8" s="52" t="e">
        <v>#NAME?</v>
      </c>
      <c r="AV8" s="52" t="e">
        <v>#NAME?</v>
      </c>
      <c r="AW8" s="52" t="e">
        <v>#NAME?</v>
      </c>
      <c r="AX8" s="52" t="e">
        <v>#NAME?</v>
      </c>
      <c r="AY8" s="53" t="e">
        <v>#NAME?</v>
      </c>
      <c r="AZ8" s="52" t="e">
        <v>#NAME?</v>
      </c>
      <c r="BA8" s="52" t="e">
        <v>#NAME?</v>
      </c>
      <c r="BB8" s="52" t="e">
        <v>#NAME?</v>
      </c>
      <c r="BC8" s="52" t="e">
        <v>#NAME?</v>
      </c>
      <c r="BD8" s="52" t="e">
        <v>#NAME?</v>
      </c>
      <c r="BE8" s="52" t="e">
        <v>#NAME?</v>
      </c>
      <c r="BF8" s="52" t="e">
        <v>#NAME?</v>
      </c>
      <c r="BG8" s="52" t="e">
        <v>#NAME?</v>
      </c>
      <c r="BH8" s="52" t="e">
        <v>#NAME?</v>
      </c>
      <c r="BI8" s="52" t="e">
        <v>#NAME?</v>
      </c>
      <c r="BJ8" s="53" t="e">
        <v>#NAME?</v>
      </c>
      <c r="BK8" s="6"/>
      <c r="BL8" s="15" t="e">
        <v>#NAME?</v>
      </c>
      <c r="BM8" s="12" t="e">
        <v>#NAME?</v>
      </c>
      <c r="BN8" s="15" t="e">
        <v>#NAME?</v>
      </c>
      <c r="BO8" s="12" t="e">
        <v>#NAME?</v>
      </c>
      <c r="BP8" s="15" t="e">
        <v>#NAME?</v>
      </c>
      <c r="BQ8" s="12" t="e">
        <v>#NAME?</v>
      </c>
      <c r="BR8" s="15" t="e">
        <v>#NAME?</v>
      </c>
      <c r="BS8" s="9" t="e">
        <v>#NAME?</v>
      </c>
    </row>
    <row r="9" spans="1:71" s="5" customFormat="1" x14ac:dyDescent="0.2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3">
        <v>7548.369999999999</v>
      </c>
      <c r="AN9" s="52">
        <v>23439.305499999999</v>
      </c>
      <c r="AO9" s="52"/>
      <c r="AP9" s="52"/>
      <c r="AQ9" s="52"/>
      <c r="AR9" s="52"/>
      <c r="AS9" s="52"/>
      <c r="AT9" s="52">
        <v>2237.5500000000002</v>
      </c>
      <c r="AU9" s="52">
        <v>3233.72</v>
      </c>
      <c r="AV9" s="52">
        <v>123.01</v>
      </c>
      <c r="AW9" s="52">
        <v>3034.93</v>
      </c>
      <c r="AX9" s="52">
        <v>5.84</v>
      </c>
      <c r="AY9" s="53">
        <v>33541.1855</v>
      </c>
      <c r="AZ9" s="52">
        <v>3379.45</v>
      </c>
      <c r="BA9" s="52">
        <v>6469.58</v>
      </c>
      <c r="BB9" s="52">
        <v>1053.0899999999999</v>
      </c>
      <c r="BC9" s="52">
        <v>4269.9799999999996</v>
      </c>
      <c r="BD9" s="52">
        <v>358.48</v>
      </c>
      <c r="BE9" s="52">
        <v>8174.45</v>
      </c>
      <c r="BF9" s="52">
        <v>3670.98</v>
      </c>
      <c r="BG9" s="52">
        <v>420.38</v>
      </c>
      <c r="BH9" s="52">
        <v>2365.2199999999998</v>
      </c>
      <c r="BI9" s="52">
        <v>163.97</v>
      </c>
      <c r="BJ9" s="53">
        <v>58808.385500000004</v>
      </c>
      <c r="BK9" s="6"/>
      <c r="BL9" s="15">
        <v>4.5599999999999996</v>
      </c>
      <c r="BM9" s="12"/>
      <c r="BN9" s="15">
        <v>5.16</v>
      </c>
      <c r="BO9" s="12"/>
      <c r="BP9" s="15">
        <v>6.36</v>
      </c>
      <c r="BQ9" s="12"/>
      <c r="BR9" s="15">
        <v>7.2</v>
      </c>
      <c r="BS9" s="9"/>
    </row>
    <row r="10" spans="1:71" s="5" customFormat="1" x14ac:dyDescent="0.2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3">
        <v>7539.58</v>
      </c>
      <c r="AN10" s="52">
        <v>23947.409</v>
      </c>
      <c r="AO10" s="52"/>
      <c r="AP10" s="52"/>
      <c r="AQ10" s="52"/>
      <c r="AR10" s="52"/>
      <c r="AS10" s="52"/>
      <c r="AT10" s="52">
        <v>2238.86</v>
      </c>
      <c r="AU10" s="52">
        <v>3752.51</v>
      </c>
      <c r="AV10" s="52">
        <v>127.13</v>
      </c>
      <c r="AW10" s="52">
        <v>3546.99</v>
      </c>
      <c r="AX10" s="52">
        <v>6.15</v>
      </c>
      <c r="AY10" s="53">
        <v>34052.349000000009</v>
      </c>
      <c r="AZ10" s="52">
        <v>3311.26</v>
      </c>
      <c r="BA10" s="52">
        <v>6343.46</v>
      </c>
      <c r="BB10" s="52">
        <v>1063.27</v>
      </c>
      <c r="BC10" s="52">
        <v>4348.74</v>
      </c>
      <c r="BD10" s="52">
        <v>354.14</v>
      </c>
      <c r="BE10" s="52">
        <v>8242.23</v>
      </c>
      <c r="BF10" s="52">
        <v>3777.33</v>
      </c>
      <c r="BG10" s="52">
        <v>430.6</v>
      </c>
      <c r="BH10" s="52">
        <v>2420.59</v>
      </c>
      <c r="BI10" s="52">
        <v>166.01</v>
      </c>
      <c r="BJ10" s="53">
        <v>59336.779000000002</v>
      </c>
      <c r="BK10" s="6"/>
      <c r="BL10" s="15">
        <v>4.68</v>
      </c>
      <c r="BM10" s="12"/>
      <c r="BN10" s="15">
        <v>5.28</v>
      </c>
      <c r="BO10" s="12"/>
      <c r="BP10" s="15">
        <v>6</v>
      </c>
      <c r="BQ10" s="12"/>
      <c r="BR10" s="15">
        <v>7.2</v>
      </c>
      <c r="BS10" s="9"/>
    </row>
    <row r="11" spans="1:71" s="5" customFormat="1" x14ac:dyDescent="0.2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3">
        <v>7636.64</v>
      </c>
      <c r="AN11" s="52">
        <v>24350.179</v>
      </c>
      <c r="AO11" s="52"/>
      <c r="AP11" s="52"/>
      <c r="AQ11" s="52"/>
      <c r="AR11" s="52"/>
      <c r="AS11" s="52"/>
      <c r="AT11" s="52">
        <v>2239.71</v>
      </c>
      <c r="AU11" s="52">
        <v>4222.62</v>
      </c>
      <c r="AV11" s="52">
        <v>123.45</v>
      </c>
      <c r="AW11" s="52">
        <v>4032.18</v>
      </c>
      <c r="AX11" s="52">
        <v>11.32</v>
      </c>
      <c r="AY11" s="53">
        <v>34529.099000000002</v>
      </c>
      <c r="AZ11" s="52">
        <v>3342.52</v>
      </c>
      <c r="BA11" s="52">
        <v>6252.99</v>
      </c>
      <c r="BB11" s="52">
        <v>1067.8399999999999</v>
      </c>
      <c r="BC11" s="52">
        <v>4250.3</v>
      </c>
      <c r="BD11" s="52">
        <v>330.64</v>
      </c>
      <c r="BE11" s="52">
        <v>8372.4</v>
      </c>
      <c r="BF11" s="52">
        <v>3828.1</v>
      </c>
      <c r="BG11" s="52">
        <v>445.85</v>
      </c>
      <c r="BH11" s="52">
        <v>2485.1</v>
      </c>
      <c r="BI11" s="52">
        <v>168.26</v>
      </c>
      <c r="BJ11" s="53">
        <v>59766.378999999994</v>
      </c>
      <c r="BK11" s="6"/>
      <c r="BL11" s="15">
        <v>4.8</v>
      </c>
      <c r="BM11" s="12"/>
      <c r="BN11" s="15">
        <v>5.52</v>
      </c>
      <c r="BO11" s="12"/>
      <c r="BP11" s="15">
        <v>6.12</v>
      </c>
      <c r="BQ11" s="12"/>
      <c r="BR11" s="15">
        <v>6.96</v>
      </c>
      <c r="BS11" s="9"/>
    </row>
    <row r="12" spans="1:71" s="5" customFormat="1" x14ac:dyDescent="0.2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3">
        <v>7695.54</v>
      </c>
      <c r="AN12" s="52">
        <v>24721.836499999998</v>
      </c>
      <c r="AO12" s="52"/>
      <c r="AP12" s="52"/>
      <c r="AQ12" s="52"/>
      <c r="AR12" s="52"/>
      <c r="AS12" s="52"/>
      <c r="AT12" s="52">
        <v>2258.06</v>
      </c>
      <c r="AU12" s="52">
        <v>3957.82</v>
      </c>
      <c r="AV12" s="52">
        <v>124.65</v>
      </c>
      <c r="AW12" s="52">
        <v>3797.24</v>
      </c>
      <c r="AX12" s="52">
        <v>11.71</v>
      </c>
      <c r="AY12" s="53">
        <v>34948.9565</v>
      </c>
      <c r="AZ12" s="52">
        <v>3514.52</v>
      </c>
      <c r="BA12" s="52">
        <v>6039.46</v>
      </c>
      <c r="BB12" s="52">
        <v>1065.26</v>
      </c>
      <c r="BC12" s="52">
        <v>4309.05</v>
      </c>
      <c r="BD12" s="52">
        <v>313.95999999999998</v>
      </c>
      <c r="BE12" s="52">
        <v>8445.32</v>
      </c>
      <c r="BF12" s="52">
        <v>3866.9</v>
      </c>
      <c r="BG12" s="52">
        <v>455.5</v>
      </c>
      <c r="BH12" s="52">
        <v>2471.92</v>
      </c>
      <c r="BI12" s="52">
        <v>179.66</v>
      </c>
      <c r="BJ12" s="53">
        <v>60307.3465</v>
      </c>
      <c r="BK12" s="6"/>
      <c r="BL12" s="15">
        <v>4.92</v>
      </c>
      <c r="BM12" s="12"/>
      <c r="BN12" s="15">
        <v>5.52</v>
      </c>
      <c r="BO12" s="12"/>
      <c r="BP12" s="15">
        <v>6.12</v>
      </c>
      <c r="BQ12" s="12"/>
      <c r="BR12" s="15"/>
      <c r="BS12" s="9"/>
    </row>
    <row r="13" spans="1:71" s="5" customFormat="1" x14ac:dyDescent="0.2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3">
        <v>7821.7999999999993</v>
      </c>
      <c r="AN13" s="52">
        <v>24974.548999999999</v>
      </c>
      <c r="AO13" s="52"/>
      <c r="AP13" s="52"/>
      <c r="AQ13" s="52"/>
      <c r="AR13" s="52"/>
      <c r="AS13" s="52"/>
      <c r="AT13" s="52">
        <v>2289.71</v>
      </c>
      <c r="AU13" s="52">
        <v>4054.03</v>
      </c>
      <c r="AV13" s="52">
        <v>128.52000000000001</v>
      </c>
      <c r="AW13" s="52">
        <v>3856.88</v>
      </c>
      <c r="AX13" s="52">
        <v>7.17</v>
      </c>
      <c r="AY13" s="53">
        <v>35404.559000000001</v>
      </c>
      <c r="AZ13" s="52">
        <v>3629.06</v>
      </c>
      <c r="BA13" s="52">
        <v>5881.13</v>
      </c>
      <c r="BB13" s="52">
        <v>1057.3800000000001</v>
      </c>
      <c r="BC13" s="52">
        <v>4419.18</v>
      </c>
      <c r="BD13" s="52">
        <v>316.05</v>
      </c>
      <c r="BE13" s="52">
        <v>8469.06</v>
      </c>
      <c r="BF13" s="52">
        <v>3777.34</v>
      </c>
      <c r="BG13" s="52">
        <v>452.49</v>
      </c>
      <c r="BH13" s="52">
        <v>2419.6799999999998</v>
      </c>
      <c r="BI13" s="52">
        <v>184.36</v>
      </c>
      <c r="BJ13" s="53">
        <v>60802.208999999995</v>
      </c>
      <c r="BK13" s="6"/>
      <c r="BL13" s="15">
        <v>5.04</v>
      </c>
      <c r="BM13" s="12"/>
      <c r="BN13" s="15">
        <v>5.4</v>
      </c>
      <c r="BO13" s="12"/>
      <c r="BP13" s="15">
        <v>6.12</v>
      </c>
      <c r="BQ13" s="12"/>
      <c r="BR13" s="15">
        <v>7.56</v>
      </c>
      <c r="BS13" s="9"/>
    </row>
    <row r="14" spans="1:71" x14ac:dyDescent="0.2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3">
        <v>7690.1900000000005</v>
      </c>
      <c r="AN14" s="52">
        <v>25128.756999999998</v>
      </c>
      <c r="AO14" s="52"/>
      <c r="AP14" s="52"/>
      <c r="AQ14" s="52"/>
      <c r="AR14" s="52"/>
      <c r="AS14" s="52"/>
      <c r="AT14" s="52">
        <v>2298.52</v>
      </c>
      <c r="AU14" s="52">
        <v>4091.77</v>
      </c>
      <c r="AV14" s="52">
        <v>128.53</v>
      </c>
      <c r="AW14" s="52">
        <v>3878.73</v>
      </c>
      <c r="AX14" s="52">
        <v>8.41</v>
      </c>
      <c r="AY14" s="53">
        <v>35450.627</v>
      </c>
      <c r="AZ14" s="52">
        <v>3630.31</v>
      </c>
      <c r="BA14" s="52">
        <v>5722.86</v>
      </c>
      <c r="BB14" s="52">
        <v>1063.0999999999999</v>
      </c>
      <c r="BC14" s="52">
        <v>4334.5600000000004</v>
      </c>
      <c r="BD14" s="52">
        <v>337.86</v>
      </c>
      <c r="BE14" s="52">
        <v>8430.67</v>
      </c>
      <c r="BF14" s="52">
        <v>3818.66</v>
      </c>
      <c r="BG14" s="52">
        <v>455.8</v>
      </c>
      <c r="BH14" s="52">
        <v>2486.5700000000002</v>
      </c>
      <c r="BI14" s="52">
        <v>185.74</v>
      </c>
      <c r="BJ14" s="53">
        <v>60572.136999999988</v>
      </c>
      <c r="BK14" s="6"/>
      <c r="BL14" s="15">
        <v>5.04</v>
      </c>
      <c r="BM14" s="12"/>
      <c r="BN14" s="15">
        <v>5.52</v>
      </c>
      <c r="BO14" s="12"/>
      <c r="BP14" s="15">
        <v>6.12</v>
      </c>
      <c r="BQ14" s="12"/>
      <c r="BR14" s="15">
        <v>7.68</v>
      </c>
      <c r="BS14" s="9"/>
    </row>
    <row r="15" spans="1:71" x14ac:dyDescent="0.2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3">
        <v>7657.59</v>
      </c>
      <c r="AN15" s="52">
        <v>25565.782500000001</v>
      </c>
      <c r="AO15" s="52"/>
      <c r="AP15" s="52"/>
      <c r="AQ15" s="52"/>
      <c r="AR15" s="52"/>
      <c r="AS15" s="52"/>
      <c r="AT15" s="52">
        <v>2303.31</v>
      </c>
      <c r="AU15" s="52">
        <v>3801.64</v>
      </c>
      <c r="AV15" s="52">
        <v>127.65</v>
      </c>
      <c r="AW15" s="52">
        <v>3148.09</v>
      </c>
      <c r="AX15" s="52">
        <v>9.9</v>
      </c>
      <c r="AY15" s="53">
        <v>36297.982499999998</v>
      </c>
      <c r="AZ15" s="52">
        <v>3597.79</v>
      </c>
      <c r="BA15" s="52">
        <v>6004.8</v>
      </c>
      <c r="BB15" s="52">
        <v>1071.25</v>
      </c>
      <c r="BC15" s="52">
        <v>4281.3599999999997</v>
      </c>
      <c r="BD15" s="52">
        <v>363.45</v>
      </c>
      <c r="BE15" s="52">
        <v>8510.2199999999993</v>
      </c>
      <c r="BF15" s="52">
        <v>4004.45</v>
      </c>
      <c r="BG15" s="52">
        <v>469</v>
      </c>
      <c r="BH15" s="52">
        <v>2893.12</v>
      </c>
      <c r="BI15" s="52">
        <v>189.31</v>
      </c>
      <c r="BJ15" s="53">
        <v>61517.872500000005</v>
      </c>
      <c r="BK15" s="6"/>
      <c r="BL15" s="15">
        <v>5.16</v>
      </c>
      <c r="BM15" s="12"/>
      <c r="BN15" s="15">
        <v>5.52</v>
      </c>
      <c r="BO15" s="12"/>
      <c r="BP15" s="15">
        <v>6.12</v>
      </c>
      <c r="BQ15" s="12"/>
      <c r="BR15" s="15">
        <v>7.8</v>
      </c>
      <c r="BS15" s="9"/>
    </row>
    <row r="16" spans="1:71" x14ac:dyDescent="0.2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3">
        <v>7925.0099999999993</v>
      </c>
      <c r="AN16" s="52">
        <v>26010.968000000001</v>
      </c>
      <c r="AO16" s="52"/>
      <c r="AP16" s="52"/>
      <c r="AQ16" s="52"/>
      <c r="AR16" s="52"/>
      <c r="AS16" s="52"/>
      <c r="AT16" s="52">
        <v>2309.4499999999998</v>
      </c>
      <c r="AU16" s="52">
        <v>4298.29</v>
      </c>
      <c r="AV16" s="52">
        <v>151.94999999999999</v>
      </c>
      <c r="AW16" s="52">
        <v>3592.98</v>
      </c>
      <c r="AX16" s="52">
        <v>9.93</v>
      </c>
      <c r="AY16" s="53">
        <v>37092.757999999994</v>
      </c>
      <c r="AZ16" s="52">
        <v>3605.23</v>
      </c>
      <c r="BA16" s="52">
        <v>6394.11</v>
      </c>
      <c r="BB16" s="52">
        <v>1079.8</v>
      </c>
      <c r="BC16" s="52">
        <v>4379.0600000000004</v>
      </c>
      <c r="BD16" s="52">
        <v>371.07</v>
      </c>
      <c r="BE16" s="52">
        <v>8652.0300000000007</v>
      </c>
      <c r="BF16" s="52">
        <v>4126.88</v>
      </c>
      <c r="BG16" s="52">
        <v>482.11</v>
      </c>
      <c r="BH16" s="52">
        <v>2999.78</v>
      </c>
      <c r="BI16" s="52">
        <v>191.47</v>
      </c>
      <c r="BJ16" s="53">
        <v>62991.797999999995</v>
      </c>
      <c r="BK16" s="6"/>
      <c r="BL16" s="15">
        <v>5.16</v>
      </c>
      <c r="BM16" s="12"/>
      <c r="BN16" s="15">
        <v>5.52</v>
      </c>
      <c r="BO16" s="12"/>
      <c r="BP16" s="15">
        <v>6</v>
      </c>
      <c r="BQ16" s="12"/>
      <c r="BR16" s="15">
        <v>6.12</v>
      </c>
      <c r="BS16" s="9"/>
    </row>
    <row r="17" spans="1:71" x14ac:dyDescent="0.2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3">
        <v>7739.57</v>
      </c>
      <c r="AN17" s="52">
        <v>26344.010999999999</v>
      </c>
      <c r="AO17" s="52"/>
      <c r="AP17" s="52"/>
      <c r="AQ17" s="52"/>
      <c r="AR17" s="52"/>
      <c r="AS17" s="52"/>
      <c r="AT17" s="52">
        <v>2313.98</v>
      </c>
      <c r="AU17" s="52">
        <v>4781.8100000000004</v>
      </c>
      <c r="AV17" s="52">
        <v>176.88</v>
      </c>
      <c r="AW17" s="52">
        <v>4504.55</v>
      </c>
      <c r="AX17" s="52">
        <v>11.2</v>
      </c>
      <c r="AY17" s="53">
        <v>36840.501000000004</v>
      </c>
      <c r="AZ17" s="52">
        <v>3638.46</v>
      </c>
      <c r="BA17" s="52">
        <v>6187.42</v>
      </c>
      <c r="BB17" s="52">
        <v>1089.92</v>
      </c>
      <c r="BC17" s="52">
        <v>4337.05</v>
      </c>
      <c r="BD17" s="52">
        <v>371.05</v>
      </c>
      <c r="BE17" s="52">
        <v>8713.07</v>
      </c>
      <c r="BF17" s="52">
        <v>4168.04</v>
      </c>
      <c r="BG17" s="52">
        <v>498.26</v>
      </c>
      <c r="BH17" s="52">
        <v>2737.7</v>
      </c>
      <c r="BI17" s="52">
        <v>193.7</v>
      </c>
      <c r="BJ17" s="53">
        <v>62912.370999999999</v>
      </c>
      <c r="BK17" s="6"/>
      <c r="BL17" s="15">
        <v>5.16</v>
      </c>
      <c r="BM17" s="12"/>
      <c r="BN17" s="15">
        <v>5.52</v>
      </c>
      <c r="BO17" s="12"/>
      <c r="BP17" s="15">
        <v>5.88</v>
      </c>
      <c r="BQ17" s="12"/>
      <c r="BR17" s="15">
        <v>6.48</v>
      </c>
      <c r="BS17" s="9"/>
    </row>
    <row r="18" spans="1:71" x14ac:dyDescent="0.2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3">
        <v>7867.24</v>
      </c>
      <c r="AN18" s="52">
        <v>26760.862999999998</v>
      </c>
      <c r="AO18" s="52"/>
      <c r="AP18" s="52"/>
      <c r="AQ18" s="52"/>
      <c r="AR18" s="52"/>
      <c r="AS18" s="52"/>
      <c r="AT18" s="52">
        <v>2304.87</v>
      </c>
      <c r="AU18" s="52">
        <v>4571.5</v>
      </c>
      <c r="AV18" s="52">
        <v>177.92</v>
      </c>
      <c r="AW18" s="52">
        <v>4354.2</v>
      </c>
      <c r="AX18" s="52">
        <v>12.42</v>
      </c>
      <c r="AY18" s="53">
        <v>37315.773000000001</v>
      </c>
      <c r="AZ18" s="52">
        <v>3679.09</v>
      </c>
      <c r="BA18" s="52">
        <v>6044.24</v>
      </c>
      <c r="BB18" s="52">
        <v>1082.9000000000001</v>
      </c>
      <c r="BC18" s="52">
        <v>4440.1000000000004</v>
      </c>
      <c r="BD18" s="52">
        <v>368.02</v>
      </c>
      <c r="BE18" s="52">
        <v>8780.32</v>
      </c>
      <c r="BF18" s="52">
        <v>4245.68</v>
      </c>
      <c r="BG18" s="52">
        <v>516.44000000000005</v>
      </c>
      <c r="BH18" s="52">
        <v>2714.6</v>
      </c>
      <c r="BI18" s="52">
        <v>197.76</v>
      </c>
      <c r="BJ18" s="53">
        <v>63560.202999999994</v>
      </c>
      <c r="BK18" s="6"/>
      <c r="BL18" s="15">
        <v>5.16</v>
      </c>
      <c r="BM18" s="12"/>
      <c r="BN18" s="15">
        <v>5.52</v>
      </c>
      <c r="BO18" s="12"/>
      <c r="BP18" s="15">
        <v>5.76</v>
      </c>
      <c r="BQ18" s="12"/>
      <c r="BR18" s="15">
        <v>7.08</v>
      </c>
      <c r="BS18" s="9"/>
    </row>
    <row r="19" spans="1:71" x14ac:dyDescent="0.2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3">
        <v>8580.0999999999985</v>
      </c>
      <c r="AN19" s="52">
        <v>27389.040000000001</v>
      </c>
      <c r="AO19" s="52"/>
      <c r="AP19" s="52"/>
      <c r="AQ19" s="52"/>
      <c r="AR19" s="52"/>
      <c r="AS19" s="52"/>
      <c r="AT19" s="52">
        <v>2282.73</v>
      </c>
      <c r="AU19" s="52">
        <v>4613.79</v>
      </c>
      <c r="AV19" s="52">
        <v>174.56</v>
      </c>
      <c r="AW19" s="52">
        <v>4388.79</v>
      </c>
      <c r="AX19" s="52">
        <v>12.87</v>
      </c>
      <c r="AY19" s="53">
        <v>38638.560000000005</v>
      </c>
      <c r="AZ19" s="52">
        <v>3630.32</v>
      </c>
      <c r="BA19" s="52">
        <v>5879.37</v>
      </c>
      <c r="BB19" s="52">
        <v>1058.49</v>
      </c>
      <c r="BC19" s="52">
        <v>4467.42</v>
      </c>
      <c r="BD19" s="52">
        <v>364.22</v>
      </c>
      <c r="BE19" s="52">
        <v>8999.0300000000007</v>
      </c>
      <c r="BF19" s="52">
        <v>4359.5200000000004</v>
      </c>
      <c r="BG19" s="52">
        <v>538.89</v>
      </c>
      <c r="BH19" s="52">
        <v>2696.8</v>
      </c>
      <c r="BI19" s="52">
        <v>202.16</v>
      </c>
      <c r="BJ19" s="53">
        <v>65036.860000000008</v>
      </c>
      <c r="BK19" s="6"/>
      <c r="BL19" s="15">
        <v>5.28</v>
      </c>
      <c r="BM19" s="12"/>
      <c r="BN19" s="15">
        <v>5.64</v>
      </c>
      <c r="BO19" s="12"/>
      <c r="BP19" s="15">
        <v>5.88</v>
      </c>
      <c r="BQ19" s="12"/>
      <c r="BR19" s="15">
        <v>6.12</v>
      </c>
      <c r="BS19" s="9"/>
    </row>
    <row r="20" spans="1:71" x14ac:dyDescent="0.2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3">
        <v>8791.85</v>
      </c>
      <c r="AN20" s="52">
        <v>28083.585500000001</v>
      </c>
      <c r="AO20" s="52"/>
      <c r="AP20" s="52"/>
      <c r="AQ20" s="52"/>
      <c r="AR20" s="52"/>
      <c r="AS20" s="52"/>
      <c r="AT20" s="52">
        <v>2275.6999999999998</v>
      </c>
      <c r="AU20" s="52">
        <v>4558.09</v>
      </c>
      <c r="AV20" s="52">
        <v>170.67</v>
      </c>
      <c r="AW20" s="52">
        <v>4356.9399999999996</v>
      </c>
      <c r="AX20" s="52">
        <v>12.05</v>
      </c>
      <c r="AY20" s="53">
        <v>39510.905500000001</v>
      </c>
      <c r="AZ20" s="52">
        <v>3630.65</v>
      </c>
      <c r="BA20" s="52">
        <v>5344.41</v>
      </c>
      <c r="BB20" s="52">
        <v>1039.43</v>
      </c>
      <c r="BC20" s="52">
        <v>4352.59</v>
      </c>
      <c r="BD20" s="52">
        <v>361.04</v>
      </c>
      <c r="BE20" s="52">
        <v>9272.74</v>
      </c>
      <c r="BF20" s="52">
        <v>4565.59</v>
      </c>
      <c r="BG20" s="52">
        <v>558.19000000000005</v>
      </c>
      <c r="BH20" s="52">
        <v>2684.67</v>
      </c>
      <c r="BI20" s="52">
        <v>208.05</v>
      </c>
      <c r="BJ20" s="53">
        <v>65742.825500000006</v>
      </c>
      <c r="BK20" s="6"/>
      <c r="BL20" s="15">
        <v>5.04</v>
      </c>
      <c r="BM20" s="12"/>
      <c r="BN20" s="15">
        <v>5.4</v>
      </c>
      <c r="BO20" s="12"/>
      <c r="BP20" s="15">
        <v>5.64</v>
      </c>
      <c r="BQ20" s="12"/>
      <c r="BR20" s="15">
        <v>6.12</v>
      </c>
      <c r="BS20" s="9"/>
    </row>
    <row r="21" spans="1:71" x14ac:dyDescent="0.2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3">
        <v>8739.44</v>
      </c>
      <c r="AN21" s="52">
        <v>28586.565999999999</v>
      </c>
      <c r="AO21" s="52"/>
      <c r="AP21" s="52"/>
      <c r="AQ21" s="52"/>
      <c r="AR21" s="52"/>
      <c r="AS21" s="52"/>
      <c r="AT21" s="52">
        <v>2273.9499999999998</v>
      </c>
      <c r="AU21" s="52">
        <v>4242.7</v>
      </c>
      <c r="AV21" s="52">
        <v>172.72</v>
      </c>
      <c r="AW21" s="52">
        <v>4138.21</v>
      </c>
      <c r="AX21" s="52">
        <v>12.09</v>
      </c>
      <c r="AY21" s="53">
        <v>39865.075999999994</v>
      </c>
      <c r="AZ21" s="52">
        <v>3755.68</v>
      </c>
      <c r="BA21" s="52">
        <v>5159.6000000000004</v>
      </c>
      <c r="BB21" s="52">
        <v>1049.47</v>
      </c>
      <c r="BC21" s="52">
        <v>4365.8999999999996</v>
      </c>
      <c r="BD21" s="52">
        <v>363.87</v>
      </c>
      <c r="BE21" s="52">
        <v>9393.7000000000007</v>
      </c>
      <c r="BF21" s="52">
        <v>4755.82</v>
      </c>
      <c r="BG21" s="52">
        <v>566.44000000000005</v>
      </c>
      <c r="BH21" s="52">
        <v>2714.44</v>
      </c>
      <c r="BI21" s="52">
        <v>205.13</v>
      </c>
      <c r="BJ21" s="53">
        <v>66355.986000000004</v>
      </c>
      <c r="BK21" s="6"/>
      <c r="BL21" s="15">
        <v>5.04</v>
      </c>
      <c r="BM21" s="12"/>
      <c r="BN21" s="15">
        <v>5.4</v>
      </c>
      <c r="BO21" s="12"/>
      <c r="BP21" s="15">
        <v>5.64</v>
      </c>
      <c r="BQ21" s="12"/>
      <c r="BR21" s="15">
        <v>6.6</v>
      </c>
      <c r="BS21" s="9"/>
    </row>
    <row r="22" spans="1:71" x14ac:dyDescent="0.2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3">
        <v>8781.5300000000007</v>
      </c>
      <c r="AN22" s="52">
        <v>29060.515500000001</v>
      </c>
      <c r="AO22" s="52"/>
      <c r="AP22" s="52"/>
      <c r="AQ22" s="52"/>
      <c r="AR22" s="52"/>
      <c r="AS22" s="52"/>
      <c r="AT22" s="52">
        <v>2277.19</v>
      </c>
      <c r="AU22" s="52">
        <v>4764.3500000000004</v>
      </c>
      <c r="AV22" s="52">
        <v>176.15</v>
      </c>
      <c r="AW22" s="52">
        <v>4639.47</v>
      </c>
      <c r="AX22" s="52">
        <v>11.9</v>
      </c>
      <c r="AY22" s="53">
        <v>40408.3655</v>
      </c>
      <c r="AZ22" s="52">
        <v>3758.09</v>
      </c>
      <c r="BA22" s="52">
        <v>5135.92</v>
      </c>
      <c r="BB22" s="52">
        <v>1035.8399999999999</v>
      </c>
      <c r="BC22" s="52">
        <v>4402.84</v>
      </c>
      <c r="BD22" s="52">
        <v>369.8</v>
      </c>
      <c r="BE22" s="52">
        <v>9433.6200000000008</v>
      </c>
      <c r="BF22" s="52">
        <v>4940.53</v>
      </c>
      <c r="BG22" s="52">
        <v>574.64</v>
      </c>
      <c r="BH22" s="52">
        <v>2836.48</v>
      </c>
      <c r="BI22" s="52">
        <v>210.66</v>
      </c>
      <c r="BJ22" s="53">
        <v>67012.505499999985</v>
      </c>
      <c r="BK22" s="6"/>
      <c r="BL22" s="15">
        <v>5.04</v>
      </c>
      <c r="BM22" s="12"/>
      <c r="BN22" s="15">
        <v>5.28</v>
      </c>
      <c r="BO22" s="12"/>
      <c r="BP22" s="15">
        <v>5.52</v>
      </c>
      <c r="BQ22" s="12"/>
      <c r="BR22" s="15">
        <v>6.6</v>
      </c>
      <c r="BS22" s="9"/>
    </row>
    <row r="23" spans="1:71" x14ac:dyDescent="0.2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3">
        <v>8996.02</v>
      </c>
      <c r="AN23" s="52">
        <v>29482.415000000001</v>
      </c>
      <c r="AO23" s="52"/>
      <c r="AP23" s="52"/>
      <c r="AQ23" s="52"/>
      <c r="AR23" s="52"/>
      <c r="AS23" s="52"/>
      <c r="AT23" s="52">
        <v>2277.08</v>
      </c>
      <c r="AU23" s="52">
        <v>5255.88</v>
      </c>
      <c r="AV23" s="52">
        <v>177.89</v>
      </c>
      <c r="AW23" s="52">
        <v>5054.87</v>
      </c>
      <c r="AX23" s="52">
        <v>14.28</v>
      </c>
      <c r="AY23" s="53">
        <v>41120.135000000002</v>
      </c>
      <c r="AZ23" s="52">
        <v>3808.68</v>
      </c>
      <c r="BA23" s="52">
        <v>5050.13</v>
      </c>
      <c r="BB23" s="52">
        <v>1012.14</v>
      </c>
      <c r="BC23" s="52">
        <v>4048.81</v>
      </c>
      <c r="BD23" s="52">
        <v>372.27</v>
      </c>
      <c r="BE23" s="52">
        <v>9423.35</v>
      </c>
      <c r="BF23" s="52">
        <v>5234.03</v>
      </c>
      <c r="BG23" s="52">
        <v>598.29999999999995</v>
      </c>
      <c r="BH23" s="52">
        <v>2952.32</v>
      </c>
      <c r="BI23" s="52">
        <v>213.44</v>
      </c>
      <c r="BJ23" s="53">
        <v>67502.084999999992</v>
      </c>
      <c r="BK23" s="6"/>
      <c r="BL23" s="15">
        <v>5.04</v>
      </c>
      <c r="BM23" s="12"/>
      <c r="BN23" s="15">
        <v>5.4</v>
      </c>
      <c r="BO23" s="12"/>
      <c r="BP23" s="15">
        <v>5.64</v>
      </c>
      <c r="BQ23" s="12"/>
      <c r="BR23" s="15">
        <v>6</v>
      </c>
      <c r="BS23" s="9"/>
    </row>
    <row r="24" spans="1:71" x14ac:dyDescent="0.2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3">
        <v>9048.89</v>
      </c>
      <c r="AN24" s="52">
        <v>29997.855499999998</v>
      </c>
      <c r="AO24" s="52"/>
      <c r="AP24" s="52"/>
      <c r="AQ24" s="52"/>
      <c r="AR24" s="52"/>
      <c r="AS24" s="52"/>
      <c r="AT24" s="52">
        <v>2292.6799999999998</v>
      </c>
      <c r="AU24" s="52">
        <v>5086.24</v>
      </c>
      <c r="AV24" s="52">
        <v>189.13</v>
      </c>
      <c r="AW24" s="52">
        <v>4850.32</v>
      </c>
      <c r="AX24" s="52">
        <v>16.920000000000002</v>
      </c>
      <c r="AY24" s="53">
        <v>41747.555499999995</v>
      </c>
      <c r="AZ24" s="52">
        <v>3961.75</v>
      </c>
      <c r="BA24" s="52">
        <v>4914.41</v>
      </c>
      <c r="BB24" s="52">
        <v>1067.46</v>
      </c>
      <c r="BC24" s="52">
        <v>4189.04</v>
      </c>
      <c r="BD24" s="52">
        <v>372.17</v>
      </c>
      <c r="BE24" s="52">
        <v>9500.48</v>
      </c>
      <c r="BF24" s="52">
        <v>5422.62</v>
      </c>
      <c r="BG24" s="52">
        <v>625.74</v>
      </c>
      <c r="BH24" s="52">
        <v>2894.61</v>
      </c>
      <c r="BI24" s="52">
        <v>220.86</v>
      </c>
      <c r="BJ24" s="53">
        <v>68685.755499999985</v>
      </c>
      <c r="BK24" s="6"/>
      <c r="BL24" s="15">
        <v>5.04</v>
      </c>
      <c r="BM24" s="12"/>
      <c r="BN24" s="15">
        <v>5.64</v>
      </c>
      <c r="BO24" s="12"/>
      <c r="BP24" s="15">
        <v>5.76</v>
      </c>
      <c r="BQ24" s="12"/>
      <c r="BR24" s="15">
        <v>6.72</v>
      </c>
      <c r="BS24" s="9"/>
    </row>
    <row r="25" spans="1:71" x14ac:dyDescent="0.2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3">
        <v>9092.7899999999991</v>
      </c>
      <c r="AN25" s="52">
        <v>30655.150500000003</v>
      </c>
      <c r="AO25" s="52"/>
      <c r="AP25" s="52"/>
      <c r="AQ25" s="52"/>
      <c r="AR25" s="52"/>
      <c r="AS25" s="52"/>
      <c r="AT25" s="52">
        <v>2317.0500000000002</v>
      </c>
      <c r="AU25" s="52">
        <v>5315.17</v>
      </c>
      <c r="AV25" s="52">
        <v>203.23</v>
      </c>
      <c r="AW25" s="52">
        <v>5089.07</v>
      </c>
      <c r="AX25" s="52">
        <v>16.45</v>
      </c>
      <c r="AY25" s="53">
        <v>42477.870500000005</v>
      </c>
      <c r="AZ25" s="52">
        <v>3932.11</v>
      </c>
      <c r="BA25" s="52">
        <v>4718.7299999999996</v>
      </c>
      <c r="BB25" s="52">
        <v>1133.57</v>
      </c>
      <c r="BC25" s="52">
        <v>4213.57</v>
      </c>
      <c r="BD25" s="52">
        <v>381.92</v>
      </c>
      <c r="BE25" s="52">
        <v>9597.02</v>
      </c>
      <c r="BF25" s="52">
        <v>5560.25</v>
      </c>
      <c r="BG25" s="52">
        <v>650.12</v>
      </c>
      <c r="BH25" s="52">
        <v>2805.23</v>
      </c>
      <c r="BI25" s="52">
        <v>228.88</v>
      </c>
      <c r="BJ25" s="53">
        <v>69631.050500000012</v>
      </c>
      <c r="BK25" s="6"/>
      <c r="BL25" s="15">
        <v>5.4</v>
      </c>
      <c r="BM25" s="12"/>
      <c r="BN25" s="15">
        <v>5.52</v>
      </c>
      <c r="BO25" s="12"/>
      <c r="BP25" s="15">
        <v>6.36</v>
      </c>
      <c r="BQ25" s="12"/>
      <c r="BR25" s="15">
        <v>7.56</v>
      </c>
      <c r="BS25" s="9"/>
    </row>
    <row r="26" spans="1:71" x14ac:dyDescent="0.2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3">
        <v>9141.19</v>
      </c>
      <c r="AN26" s="52">
        <v>31072.552500000002</v>
      </c>
      <c r="AO26" s="52"/>
      <c r="AP26" s="52"/>
      <c r="AQ26" s="52"/>
      <c r="AR26" s="52"/>
      <c r="AS26" s="52"/>
      <c r="AT26" s="52">
        <v>2321.37</v>
      </c>
      <c r="AU26" s="52">
        <v>5253.62</v>
      </c>
      <c r="AV26" s="52">
        <v>211.65</v>
      </c>
      <c r="AW26" s="52">
        <v>4889.29</v>
      </c>
      <c r="AX26" s="52">
        <v>17.420000000000002</v>
      </c>
      <c r="AY26" s="53">
        <v>43093.672500000008</v>
      </c>
      <c r="AZ26" s="52">
        <v>3926.29</v>
      </c>
      <c r="BA26" s="52">
        <v>4653.62</v>
      </c>
      <c r="BB26" s="52">
        <v>1160.6300000000001</v>
      </c>
      <c r="BC26" s="52">
        <v>4096.74</v>
      </c>
      <c r="BD26" s="52">
        <v>389.69</v>
      </c>
      <c r="BE26" s="52">
        <v>9609.6200000000008</v>
      </c>
      <c r="BF26" s="52">
        <v>5782.33</v>
      </c>
      <c r="BG26" s="52">
        <v>671.26</v>
      </c>
      <c r="BH26" s="52">
        <v>2805.97</v>
      </c>
      <c r="BI26" s="52">
        <v>234.6</v>
      </c>
      <c r="BJ26" s="53">
        <v>70343.282500000016</v>
      </c>
      <c r="BL26" s="15">
        <v>5.4</v>
      </c>
      <c r="BM26" s="12"/>
      <c r="BN26" s="15">
        <v>5.76</v>
      </c>
      <c r="BO26" s="12"/>
      <c r="BP26" s="15">
        <v>6.36</v>
      </c>
      <c r="BQ26" s="12"/>
      <c r="BR26" s="15">
        <v>7.08</v>
      </c>
      <c r="BS26" s="9"/>
    </row>
    <row r="27" spans="1:71" x14ac:dyDescent="0.2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3">
        <v>9121.4500000000007</v>
      </c>
      <c r="AN27" s="52">
        <v>31127.8495</v>
      </c>
      <c r="AO27" s="52"/>
      <c r="AP27" s="52"/>
      <c r="AQ27" s="52"/>
      <c r="AR27" s="52"/>
      <c r="AS27" s="52"/>
      <c r="AT27" s="52">
        <v>2327.08</v>
      </c>
      <c r="AU27" s="52">
        <v>5407.28</v>
      </c>
      <c r="AV27" s="52">
        <v>220.73</v>
      </c>
      <c r="AW27" s="52">
        <v>4995.6099999999997</v>
      </c>
      <c r="AX27" s="52">
        <v>19.91</v>
      </c>
      <c r="AY27" s="53">
        <v>43188.869500000001</v>
      </c>
      <c r="AZ27" s="52">
        <v>3958.81</v>
      </c>
      <c r="BA27" s="52">
        <v>4744.24</v>
      </c>
      <c r="BB27" s="52">
        <v>1160.28</v>
      </c>
      <c r="BC27" s="52">
        <v>4146.57</v>
      </c>
      <c r="BD27" s="52">
        <v>397.83</v>
      </c>
      <c r="BE27" s="52">
        <v>9734.06</v>
      </c>
      <c r="BF27" s="52">
        <v>5885.32</v>
      </c>
      <c r="BG27" s="52">
        <v>672.26</v>
      </c>
      <c r="BH27" s="52">
        <v>2898.11</v>
      </c>
      <c r="BI27" s="52">
        <v>233.27</v>
      </c>
      <c r="BJ27" s="53">
        <v>70756.859500000006</v>
      </c>
      <c r="BL27" s="15">
        <v>5.52</v>
      </c>
      <c r="BM27" s="12"/>
      <c r="BN27" s="15">
        <v>6.12</v>
      </c>
      <c r="BO27" s="12"/>
      <c r="BP27" s="15">
        <v>6.6</v>
      </c>
      <c r="BQ27" s="12"/>
      <c r="BR27" s="15">
        <v>7.8</v>
      </c>
      <c r="BS27" s="9"/>
    </row>
    <row r="28" spans="1:71" x14ac:dyDescent="0.2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3">
        <v>9409.23</v>
      </c>
      <c r="AN28" s="52">
        <v>31394.433499999999</v>
      </c>
      <c r="AO28" s="52"/>
      <c r="AP28" s="52"/>
      <c r="AQ28" s="52"/>
      <c r="AR28" s="52"/>
      <c r="AS28" s="52"/>
      <c r="AT28" s="52">
        <v>2340.96</v>
      </c>
      <c r="AU28" s="52">
        <v>5425.09</v>
      </c>
      <c r="AV28" s="52">
        <v>229.26</v>
      </c>
      <c r="AW28" s="52">
        <v>5262.59</v>
      </c>
      <c r="AX28" s="52">
        <v>19.989999999999998</v>
      </c>
      <c r="AY28" s="53">
        <v>43516.393499999991</v>
      </c>
      <c r="AZ28" s="52">
        <v>3967.61</v>
      </c>
      <c r="BA28" s="52">
        <v>4687.45</v>
      </c>
      <c r="BB28" s="52">
        <v>1185.22</v>
      </c>
      <c r="BC28" s="52">
        <v>4227.91</v>
      </c>
      <c r="BD28" s="52">
        <v>397.53</v>
      </c>
      <c r="BE28" s="52">
        <v>9905.39</v>
      </c>
      <c r="BF28" s="52">
        <v>5964.2</v>
      </c>
      <c r="BG28" s="52">
        <v>681.5</v>
      </c>
      <c r="BH28" s="52">
        <v>2984.07</v>
      </c>
      <c r="BI28" s="52">
        <v>225.16</v>
      </c>
      <c r="BJ28" s="53">
        <v>71323.973499999993</v>
      </c>
      <c r="BK28" s="6"/>
      <c r="BL28" s="15">
        <v>5.88</v>
      </c>
      <c r="BM28" s="12"/>
      <c r="BN28" s="15">
        <v>6.36</v>
      </c>
      <c r="BO28" s="12"/>
      <c r="BP28" s="15">
        <v>6.72</v>
      </c>
      <c r="BQ28" s="12"/>
      <c r="BR28" s="15">
        <v>7.68</v>
      </c>
      <c r="BS28" s="9"/>
    </row>
    <row r="29" spans="1:71" x14ac:dyDescent="0.2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3">
        <v>9190.83</v>
      </c>
      <c r="AN29" s="52">
        <v>32192.0455</v>
      </c>
      <c r="AO29" s="52"/>
      <c r="AP29" s="52"/>
      <c r="AQ29" s="52"/>
      <c r="AR29" s="52"/>
      <c r="AS29" s="52"/>
      <c r="AT29" s="52">
        <v>2357.69</v>
      </c>
      <c r="AU29" s="52">
        <v>5528.08</v>
      </c>
      <c r="AV29" s="52">
        <v>234.83</v>
      </c>
      <c r="AW29" s="52">
        <v>5508.11</v>
      </c>
      <c r="AX29" s="52">
        <v>17.059999999999999</v>
      </c>
      <c r="AY29" s="53">
        <v>43978.305500000002</v>
      </c>
      <c r="AZ29" s="52">
        <v>4089.22</v>
      </c>
      <c r="BA29" s="52">
        <v>4596.54</v>
      </c>
      <c r="BB29" s="52">
        <v>1184.1400000000001</v>
      </c>
      <c r="BC29" s="52">
        <v>4137.2700000000004</v>
      </c>
      <c r="BD29" s="52">
        <v>393.47</v>
      </c>
      <c r="BE29" s="52">
        <v>10064.370000000001</v>
      </c>
      <c r="BF29" s="52">
        <v>6212.2</v>
      </c>
      <c r="BG29" s="52">
        <v>716.88</v>
      </c>
      <c r="BH29" s="52">
        <v>3014.92</v>
      </c>
      <c r="BI29" s="52">
        <v>230.2</v>
      </c>
      <c r="BJ29" s="53">
        <v>72127.275499999989</v>
      </c>
      <c r="BK29" s="6"/>
      <c r="BL29" s="15">
        <v>5.88</v>
      </c>
      <c r="BM29" s="12"/>
      <c r="BN29" s="15">
        <v>6.36</v>
      </c>
      <c r="BO29" s="12"/>
      <c r="BP29" s="15">
        <v>6.84</v>
      </c>
      <c r="BQ29" s="12"/>
      <c r="BR29" s="15">
        <v>7.44</v>
      </c>
      <c r="BS29" s="9"/>
    </row>
    <row r="30" spans="1:71" x14ac:dyDescent="0.2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3">
        <v>9570.5299999999988</v>
      </c>
      <c r="AN30" s="52">
        <v>33221.212500000001</v>
      </c>
      <c r="AO30" s="52"/>
      <c r="AP30" s="52"/>
      <c r="AQ30" s="52"/>
      <c r="AR30" s="52"/>
      <c r="AS30" s="52"/>
      <c r="AT30" s="52">
        <v>2363.5700000000002</v>
      </c>
      <c r="AU30" s="52">
        <v>6338.14</v>
      </c>
      <c r="AV30" s="52">
        <v>229.9</v>
      </c>
      <c r="AW30" s="52">
        <v>6247.86</v>
      </c>
      <c r="AX30" s="52">
        <v>15.74</v>
      </c>
      <c r="AY30" s="53">
        <v>45459.752500000002</v>
      </c>
      <c r="AZ30" s="52">
        <v>4144.9799999999996</v>
      </c>
      <c r="BA30" s="52">
        <v>4450.9799999999996</v>
      </c>
      <c r="BB30" s="52">
        <v>1231.92</v>
      </c>
      <c r="BC30" s="52">
        <v>4167.13</v>
      </c>
      <c r="BD30" s="52">
        <v>405.73</v>
      </c>
      <c r="BE30" s="52">
        <v>10272.129999999999</v>
      </c>
      <c r="BF30" s="52">
        <v>6296.57</v>
      </c>
      <c r="BG30" s="52">
        <v>723.79</v>
      </c>
      <c r="BH30" s="52">
        <v>3081.23</v>
      </c>
      <c r="BI30" s="52">
        <v>242.1</v>
      </c>
      <c r="BJ30" s="53">
        <v>73829.652499999997</v>
      </c>
      <c r="BK30" s="6"/>
      <c r="BL30" s="15">
        <v>5.88</v>
      </c>
      <c r="BM30" s="12"/>
      <c r="BN30" s="15">
        <v>6.36</v>
      </c>
      <c r="BO30" s="12"/>
      <c r="BP30" s="15">
        <v>6.84</v>
      </c>
      <c r="BQ30" s="12"/>
      <c r="BR30" s="15">
        <v>10.199999999999999</v>
      </c>
      <c r="BS30" s="9"/>
    </row>
    <row r="31" spans="1:71" x14ac:dyDescent="0.2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3">
        <v>10129.86</v>
      </c>
      <c r="AN31" s="52">
        <v>34305.202999999994</v>
      </c>
      <c r="AO31" s="52"/>
      <c r="AP31" s="52"/>
      <c r="AQ31" s="52"/>
      <c r="AR31" s="52"/>
      <c r="AS31" s="52"/>
      <c r="AT31" s="52">
        <v>2356.44</v>
      </c>
      <c r="AU31" s="52">
        <v>6176.76</v>
      </c>
      <c r="AV31" s="52">
        <v>221.39</v>
      </c>
      <c r="AW31" s="52">
        <v>6053.72</v>
      </c>
      <c r="AX31" s="52">
        <v>16.559999999999999</v>
      </c>
      <c r="AY31" s="53">
        <v>47119.373</v>
      </c>
      <c r="AZ31" s="52">
        <v>4142.8900000000003</v>
      </c>
      <c r="BA31" s="52">
        <v>4082.7</v>
      </c>
      <c r="BB31" s="52">
        <v>1327.55</v>
      </c>
      <c r="BC31" s="52">
        <v>4138.16</v>
      </c>
      <c r="BD31" s="52">
        <v>389.53</v>
      </c>
      <c r="BE31" s="52">
        <v>10443.17</v>
      </c>
      <c r="BF31" s="52">
        <v>6094.77</v>
      </c>
      <c r="BG31" s="52">
        <v>706.55</v>
      </c>
      <c r="BH31" s="52">
        <v>3017.96</v>
      </c>
      <c r="BI31" s="52">
        <v>248.08</v>
      </c>
      <c r="BJ31" s="53">
        <v>75178.652999999991</v>
      </c>
      <c r="BL31" s="15">
        <v>6.48</v>
      </c>
      <c r="BM31" s="12"/>
      <c r="BN31" s="15">
        <v>6.96</v>
      </c>
      <c r="BO31" s="12"/>
      <c r="BP31" s="15">
        <v>7.08</v>
      </c>
      <c r="BQ31" s="12"/>
      <c r="BR31" s="15">
        <v>7.32</v>
      </c>
      <c r="BS31" s="9"/>
    </row>
    <row r="32" spans="1:71" x14ac:dyDescent="0.2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 t="e">
        <v>#NAME?</v>
      </c>
      <c r="AK32" s="52" t="e">
        <v>#NAME?</v>
      </c>
      <c r="AL32" s="52">
        <v>1899.1544999999992</v>
      </c>
      <c r="AM32" s="53">
        <v>10204.099999999999</v>
      </c>
      <c r="AN32" s="52">
        <v>35106.784999999996</v>
      </c>
      <c r="AO32" s="52" t="e">
        <v>#NAME?</v>
      </c>
      <c r="AP32" s="52" t="e">
        <v>#NAME?</v>
      </c>
      <c r="AQ32" s="52" t="e">
        <v>#NAME?</v>
      </c>
      <c r="AR32" s="52" t="e">
        <v>#NAME?</v>
      </c>
      <c r="AS32" s="52" t="e">
        <v>#NAME?</v>
      </c>
      <c r="AT32" s="52">
        <v>2362.9</v>
      </c>
      <c r="AU32" s="52">
        <v>5566.9</v>
      </c>
      <c r="AV32" s="52">
        <v>229.4</v>
      </c>
      <c r="AW32" s="52">
        <v>5520</v>
      </c>
      <c r="AX32" s="52">
        <v>18.5</v>
      </c>
      <c r="AY32" s="53">
        <v>47931.584999999999</v>
      </c>
      <c r="AZ32" s="52">
        <v>4208.8</v>
      </c>
      <c r="BA32" s="52">
        <v>4142.8</v>
      </c>
      <c r="BB32" s="52">
        <v>1397.2</v>
      </c>
      <c r="BC32" s="52">
        <v>4131.3</v>
      </c>
      <c r="BD32" s="52">
        <v>368.7</v>
      </c>
      <c r="BE32" s="52">
        <v>10541.2</v>
      </c>
      <c r="BF32" s="52">
        <v>5674.1</v>
      </c>
      <c r="BG32" s="52">
        <v>666</v>
      </c>
      <c r="BH32" s="52">
        <v>2953.2</v>
      </c>
      <c r="BI32" s="52">
        <v>253.8</v>
      </c>
      <c r="BJ32" s="53">
        <v>75854.684999999998</v>
      </c>
      <c r="BL32" s="15">
        <v>6.36</v>
      </c>
      <c r="BM32" s="12"/>
      <c r="BN32" s="15">
        <v>6.6</v>
      </c>
      <c r="BO32" s="12"/>
      <c r="BP32" s="15">
        <v>7.32</v>
      </c>
      <c r="BQ32" s="12"/>
      <c r="BR32" s="15">
        <v>7.92</v>
      </c>
      <c r="BS32" s="9"/>
    </row>
    <row r="33" spans="1:71" x14ac:dyDescent="0.2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3">
        <v>10156.799999999999</v>
      </c>
      <c r="AN33" s="52">
        <v>35534.998999999996</v>
      </c>
      <c r="AO33" s="52">
        <v>31084.988337696093</v>
      </c>
      <c r="AP33" s="52">
        <v>16732.261285125664</v>
      </c>
      <c r="AQ33" s="52">
        <v>14352.727052570428</v>
      </c>
      <c r="AR33" s="52">
        <v>4435.5511838254197</v>
      </c>
      <c r="AS33" s="52">
        <v>14.459478478490762</v>
      </c>
      <c r="AT33" s="52">
        <v>2374.6999999999998</v>
      </c>
      <c r="AU33" s="52">
        <v>5860.6</v>
      </c>
      <c r="AV33" s="52">
        <v>240.4</v>
      </c>
      <c r="AW33" s="52">
        <v>5697.6</v>
      </c>
      <c r="AX33" s="52">
        <v>16.600000000000001</v>
      </c>
      <c r="AY33" s="53">
        <v>48453.298999999999</v>
      </c>
      <c r="AZ33" s="52">
        <v>4258.8999999999996</v>
      </c>
      <c r="BA33" s="52">
        <v>4376.3</v>
      </c>
      <c r="BB33" s="52">
        <v>1301.8</v>
      </c>
      <c r="BC33" s="52">
        <v>4084</v>
      </c>
      <c r="BD33" s="52">
        <v>369.8</v>
      </c>
      <c r="BE33" s="52">
        <v>10558.6</v>
      </c>
      <c r="BF33" s="52">
        <v>5491.9</v>
      </c>
      <c r="BG33" s="52">
        <v>638.79999999999995</v>
      </c>
      <c r="BH33" s="52">
        <v>3171</v>
      </c>
      <c r="BI33" s="52">
        <v>249</v>
      </c>
      <c r="BJ33" s="53">
        <v>76113.399000000005</v>
      </c>
      <c r="BL33" s="15">
        <v>6.24</v>
      </c>
      <c r="BM33" s="12"/>
      <c r="BN33" s="15">
        <v>6.6</v>
      </c>
      <c r="BO33" s="12"/>
      <c r="BP33" s="15">
        <v>7.08</v>
      </c>
      <c r="BQ33" s="12"/>
      <c r="BR33" s="15">
        <v>7.68</v>
      </c>
      <c r="BS33" s="9"/>
    </row>
    <row r="34" spans="1:71" x14ac:dyDescent="0.2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3">
        <v>10101.700000000001</v>
      </c>
      <c r="AN34" s="52">
        <v>36025.548000000003</v>
      </c>
      <c r="AO34" s="52">
        <v>31511.378448946769</v>
      </c>
      <c r="AP34" s="52">
        <v>15402.976529242938</v>
      </c>
      <c r="AQ34" s="52">
        <v>16108.401919703831</v>
      </c>
      <c r="AR34" s="52">
        <v>4500.474809085691</v>
      </c>
      <c r="AS34" s="52">
        <v>13.694741967539839</v>
      </c>
      <c r="AT34" s="52">
        <v>2380.3000000000002</v>
      </c>
      <c r="AU34" s="52">
        <v>5949.5</v>
      </c>
      <c r="AV34" s="52">
        <v>250.8</v>
      </c>
      <c r="AW34" s="52">
        <v>5714.1</v>
      </c>
      <c r="AX34" s="52">
        <v>14.8</v>
      </c>
      <c r="AY34" s="53">
        <v>48978.948000000011</v>
      </c>
      <c r="AZ34" s="52">
        <v>4172.8999999999996</v>
      </c>
      <c r="BA34" s="52">
        <v>4370.3999999999996</v>
      </c>
      <c r="BB34" s="52">
        <v>1336.5</v>
      </c>
      <c r="BC34" s="52">
        <v>4081.2</v>
      </c>
      <c r="BD34" s="52">
        <v>365.9</v>
      </c>
      <c r="BE34" s="52">
        <v>10620.1</v>
      </c>
      <c r="BF34" s="52">
        <v>5702.6</v>
      </c>
      <c r="BG34" s="52">
        <v>638.29999999999995</v>
      </c>
      <c r="BH34" s="52">
        <v>3450</v>
      </c>
      <c r="BI34" s="52">
        <v>258.2</v>
      </c>
      <c r="BJ34" s="53">
        <v>76558.64800000003</v>
      </c>
      <c r="BL34" s="15">
        <v>6.48</v>
      </c>
      <c r="BM34" s="12"/>
      <c r="BN34" s="15">
        <v>6.96</v>
      </c>
      <c r="BO34" s="12"/>
      <c r="BP34" s="15">
        <v>7.32</v>
      </c>
      <c r="BQ34" s="12"/>
      <c r="BR34" s="15">
        <v>7.44</v>
      </c>
      <c r="BS34" s="9"/>
    </row>
    <row r="35" spans="1:71" x14ac:dyDescent="0.2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3">
        <v>10101.299999999999</v>
      </c>
      <c r="AN35" s="52">
        <v>36664.948499999999</v>
      </c>
      <c r="AO35" s="52">
        <v>32077.148251447688</v>
      </c>
      <c r="AP35" s="52">
        <v>15519.84831125074</v>
      </c>
      <c r="AQ35" s="52">
        <v>16557.29994019695</v>
      </c>
      <c r="AR35" s="52">
        <v>4574.6771295674689</v>
      </c>
      <c r="AS35" s="52">
        <v>13.123118984841085</v>
      </c>
      <c r="AT35" s="52">
        <v>2392.4</v>
      </c>
      <c r="AU35" s="52">
        <v>6075.6</v>
      </c>
      <c r="AV35" s="52">
        <v>261.39999999999998</v>
      </c>
      <c r="AW35" s="52">
        <v>5909.6</v>
      </c>
      <c r="AX35" s="52">
        <v>16.100000000000001</v>
      </c>
      <c r="AY35" s="53">
        <v>49569.948500000006</v>
      </c>
      <c r="AZ35" s="52">
        <v>4431.3</v>
      </c>
      <c r="BA35" s="52">
        <v>4342.6000000000004</v>
      </c>
      <c r="BB35" s="52">
        <v>1426.3</v>
      </c>
      <c r="BC35" s="52">
        <v>4082.3</v>
      </c>
      <c r="BD35" s="52">
        <v>375.2</v>
      </c>
      <c r="BE35" s="52">
        <v>10823.6</v>
      </c>
      <c r="BF35" s="52">
        <v>5906.2</v>
      </c>
      <c r="BG35" s="52">
        <v>636.6</v>
      </c>
      <c r="BH35" s="52">
        <v>3513.8</v>
      </c>
      <c r="BI35" s="52">
        <v>252.7</v>
      </c>
      <c r="BJ35" s="53">
        <v>77827.548500000004</v>
      </c>
      <c r="BL35" s="15">
        <v>6.48</v>
      </c>
      <c r="BM35" s="12"/>
      <c r="BN35" s="15">
        <v>6.96</v>
      </c>
      <c r="BO35" s="12"/>
      <c r="BP35" s="15">
        <v>7.32</v>
      </c>
      <c r="BQ35" s="12"/>
      <c r="BR35" s="15">
        <v>7.44</v>
      </c>
      <c r="BS35" s="9"/>
    </row>
    <row r="36" spans="1:71" x14ac:dyDescent="0.2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3">
        <v>10416.4</v>
      </c>
      <c r="AN36" s="52">
        <v>36940.379000000001</v>
      </c>
      <c r="AO36" s="52">
        <v>32253.867491709112</v>
      </c>
      <c r="AP36" s="52">
        <v>15521.195829079221</v>
      </c>
      <c r="AQ36" s="52">
        <v>16732.671662629891</v>
      </c>
      <c r="AR36" s="52">
        <v>4673.2279248025434</v>
      </c>
      <c r="AS36" s="52">
        <v>13.283583488343359</v>
      </c>
      <c r="AT36" s="52">
        <v>2427.4</v>
      </c>
      <c r="AU36" s="52">
        <v>6895.9</v>
      </c>
      <c r="AV36" s="52">
        <v>274.5</v>
      </c>
      <c r="AW36" s="52">
        <v>6684</v>
      </c>
      <c r="AX36" s="52">
        <v>18.8</v>
      </c>
      <c r="AY36" s="53">
        <v>50251.779000000002</v>
      </c>
      <c r="AZ36" s="52">
        <v>4876.2</v>
      </c>
      <c r="BA36" s="52">
        <v>4531.7</v>
      </c>
      <c r="BB36" s="52">
        <v>1556.6</v>
      </c>
      <c r="BC36" s="52">
        <v>3987.2</v>
      </c>
      <c r="BD36" s="52">
        <v>396</v>
      </c>
      <c r="BE36" s="52">
        <v>11137.4</v>
      </c>
      <c r="BF36" s="52">
        <v>6041</v>
      </c>
      <c r="BG36" s="52">
        <v>655.20000000000005</v>
      </c>
      <c r="BH36" s="52">
        <v>3503.9</v>
      </c>
      <c r="BI36" s="52">
        <v>251</v>
      </c>
      <c r="BJ36" s="53">
        <v>79678.178999999989</v>
      </c>
      <c r="BL36" s="15">
        <v>6.6</v>
      </c>
      <c r="BM36" s="12"/>
      <c r="BN36" s="15">
        <v>6.96</v>
      </c>
      <c r="BO36" s="12"/>
      <c r="BP36" s="15">
        <v>7.32</v>
      </c>
      <c r="BQ36" s="12"/>
      <c r="BR36" s="15">
        <v>7.8</v>
      </c>
      <c r="BS36" s="9"/>
    </row>
    <row r="37" spans="1:71" x14ac:dyDescent="0.2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3">
        <v>10491.7</v>
      </c>
      <c r="AN37" s="52">
        <v>36953.186500000003</v>
      </c>
      <c r="AO37" s="52">
        <v>32152.561986934641</v>
      </c>
      <c r="AP37" s="52">
        <v>15707.073220865197</v>
      </c>
      <c r="AQ37" s="52">
        <v>16445.488766069444</v>
      </c>
      <c r="AR37" s="52">
        <v>4787.1921874725622</v>
      </c>
      <c r="AS37" s="52">
        <v>13.432325592800025</v>
      </c>
      <c r="AT37" s="52">
        <v>2468.3000000000002</v>
      </c>
      <c r="AU37" s="52">
        <v>6562.2</v>
      </c>
      <c r="AV37" s="52">
        <v>293.5</v>
      </c>
      <c r="AW37" s="52">
        <v>6357.7</v>
      </c>
      <c r="AX37" s="52">
        <v>22</v>
      </c>
      <c r="AY37" s="53">
        <v>50389.186500000011</v>
      </c>
      <c r="AZ37" s="52">
        <v>5370</v>
      </c>
      <c r="BA37" s="52">
        <v>4879.8</v>
      </c>
      <c r="BB37" s="52">
        <v>1630.8</v>
      </c>
      <c r="BC37" s="52">
        <v>4083.1</v>
      </c>
      <c r="BD37" s="52">
        <v>413.2</v>
      </c>
      <c r="BE37" s="52">
        <v>11329.1</v>
      </c>
      <c r="BF37" s="52">
        <v>6013.4</v>
      </c>
      <c r="BG37" s="52">
        <v>657.3</v>
      </c>
      <c r="BH37" s="52">
        <v>3453.4</v>
      </c>
      <c r="BI37" s="52">
        <v>250.4</v>
      </c>
      <c r="BJ37" s="53">
        <v>81062.086500000019</v>
      </c>
      <c r="BL37" s="15">
        <v>6.72</v>
      </c>
      <c r="BM37" s="12"/>
      <c r="BN37" s="15">
        <v>7.32</v>
      </c>
      <c r="BO37" s="12"/>
      <c r="BP37" s="15">
        <v>7.68</v>
      </c>
      <c r="BQ37" s="12"/>
      <c r="BR37" s="15">
        <v>8.52</v>
      </c>
      <c r="BS37" s="9"/>
    </row>
    <row r="38" spans="1:71" x14ac:dyDescent="0.2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3">
        <v>9950.2000000000007</v>
      </c>
      <c r="AN38" s="52">
        <v>37144.072</v>
      </c>
      <c r="AO38" s="52">
        <v>32261.834137476482</v>
      </c>
      <c r="AP38" s="52">
        <v>16217.81273334927</v>
      </c>
      <c r="AQ38" s="52">
        <v>16044.02140412721</v>
      </c>
      <c r="AR38" s="52">
        <v>4868.524192974518</v>
      </c>
      <c r="AS38" s="52">
        <v>13.71366954899673</v>
      </c>
      <c r="AT38" s="52">
        <v>2498.6999999999998</v>
      </c>
      <c r="AU38" s="52">
        <v>6257</v>
      </c>
      <c r="AV38" s="52">
        <v>307.89999999999998</v>
      </c>
      <c r="AW38" s="52">
        <v>6006.6</v>
      </c>
      <c r="AX38" s="52">
        <v>23.7</v>
      </c>
      <c r="AY38" s="53">
        <v>50127.571999999993</v>
      </c>
      <c r="AZ38" s="52">
        <v>5832.1</v>
      </c>
      <c r="BA38" s="52">
        <v>5436.9</v>
      </c>
      <c r="BB38" s="52">
        <v>1685.6</v>
      </c>
      <c r="BC38" s="52">
        <v>4002.9</v>
      </c>
      <c r="BD38" s="52">
        <v>420.3</v>
      </c>
      <c r="BE38" s="52">
        <v>11377.4</v>
      </c>
      <c r="BF38" s="52">
        <v>5891.9</v>
      </c>
      <c r="BG38" s="52">
        <v>638.9</v>
      </c>
      <c r="BH38" s="52">
        <v>3507.2</v>
      </c>
      <c r="BI38" s="52">
        <v>263.5</v>
      </c>
      <c r="BJ38" s="53">
        <v>81642.871999999974</v>
      </c>
      <c r="BL38" s="15">
        <v>6.84</v>
      </c>
      <c r="BM38" s="12"/>
      <c r="BN38" s="15">
        <v>7.56</v>
      </c>
      <c r="BO38" s="12"/>
      <c r="BP38" s="15">
        <v>8.64</v>
      </c>
      <c r="BQ38" s="12"/>
      <c r="BR38" s="15">
        <v>8.76</v>
      </c>
      <c r="BS38" s="9"/>
    </row>
    <row r="39" spans="1:71" x14ac:dyDescent="0.2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3">
        <v>10062.799999999999</v>
      </c>
      <c r="AN39" s="52">
        <v>37322.297000000006</v>
      </c>
      <c r="AO39" s="52">
        <v>32302.852907045188</v>
      </c>
      <c r="AP39" s="52">
        <v>16025.496314822596</v>
      </c>
      <c r="AQ39" s="52">
        <v>16277.356592222588</v>
      </c>
      <c r="AR39" s="52">
        <v>5005.4004095351083</v>
      </c>
      <c r="AS39" s="52">
        <v>14.043683419706337</v>
      </c>
      <c r="AT39" s="52">
        <v>2523.5</v>
      </c>
      <c r="AU39" s="52">
        <v>6316.2</v>
      </c>
      <c r="AV39" s="52">
        <v>321.3</v>
      </c>
      <c r="AW39" s="52">
        <v>5907.8</v>
      </c>
      <c r="AX39" s="52">
        <v>24.4</v>
      </c>
      <c r="AY39" s="53">
        <v>50613.897000000012</v>
      </c>
      <c r="AZ39" s="52">
        <v>6044.2</v>
      </c>
      <c r="BA39" s="52">
        <v>6257.8</v>
      </c>
      <c r="BB39" s="52">
        <v>1827.6</v>
      </c>
      <c r="BC39" s="52">
        <v>4007.5</v>
      </c>
      <c r="BD39" s="52">
        <v>436.4</v>
      </c>
      <c r="BE39" s="52">
        <v>11696.9</v>
      </c>
      <c r="BF39" s="52">
        <v>5802.1</v>
      </c>
      <c r="BG39" s="52">
        <v>619.6</v>
      </c>
      <c r="BH39" s="52">
        <v>3699.5</v>
      </c>
      <c r="BI39" s="52">
        <v>266.2</v>
      </c>
      <c r="BJ39" s="53">
        <v>83340.296999999991</v>
      </c>
      <c r="BL39" s="15">
        <v>7.44</v>
      </c>
      <c r="BM39" s="12"/>
      <c r="BN39" s="15">
        <v>8.0399999999999991</v>
      </c>
      <c r="BO39" s="12"/>
      <c r="BP39" s="15">
        <v>8.64</v>
      </c>
      <c r="BQ39" s="12"/>
      <c r="BR39" s="15">
        <v>9.24</v>
      </c>
      <c r="BS39" s="9"/>
    </row>
    <row r="40" spans="1:71" x14ac:dyDescent="0.2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3">
        <v>10193.299999999999</v>
      </c>
      <c r="AN40" s="52">
        <v>37743.865000000005</v>
      </c>
      <c r="AO40" s="52">
        <v>32566.695380429039</v>
      </c>
      <c r="AP40" s="52">
        <v>15803.827210829717</v>
      </c>
      <c r="AQ40" s="52">
        <v>16762.868169599322</v>
      </c>
      <c r="AR40" s="52">
        <v>5162.8441531755743</v>
      </c>
      <c r="AS40" s="52">
        <v>14.32546639538082</v>
      </c>
      <c r="AT40" s="52">
        <v>2546.6</v>
      </c>
      <c r="AU40" s="52">
        <v>5893.7</v>
      </c>
      <c r="AV40" s="52">
        <v>328.1</v>
      </c>
      <c r="AW40" s="52">
        <v>5393</v>
      </c>
      <c r="AX40" s="52">
        <v>22.8</v>
      </c>
      <c r="AY40" s="53">
        <v>51289.765000000007</v>
      </c>
      <c r="AZ40" s="52">
        <v>6220.8</v>
      </c>
      <c r="BA40" s="52">
        <v>6968.1</v>
      </c>
      <c r="BB40" s="52">
        <v>1974.3</v>
      </c>
      <c r="BC40" s="52">
        <v>3983.4</v>
      </c>
      <c r="BD40" s="52">
        <v>457.6</v>
      </c>
      <c r="BE40" s="52">
        <v>12067.3</v>
      </c>
      <c r="BF40" s="52">
        <v>5505.3</v>
      </c>
      <c r="BG40" s="52">
        <v>582.1</v>
      </c>
      <c r="BH40" s="52">
        <v>3542.9</v>
      </c>
      <c r="BI40" s="52">
        <v>271.10000000000002</v>
      </c>
      <c r="BJ40" s="53">
        <v>85234.665000000008</v>
      </c>
      <c r="BL40" s="15">
        <v>8.4</v>
      </c>
      <c r="BM40" s="12"/>
      <c r="BN40" s="15">
        <v>9.48</v>
      </c>
      <c r="BO40" s="12"/>
      <c r="BP40" s="15">
        <v>9.6</v>
      </c>
      <c r="BQ40" s="12"/>
      <c r="BR40" s="15">
        <v>9.36</v>
      </c>
      <c r="BS40" s="9"/>
    </row>
    <row r="41" spans="1:71" x14ac:dyDescent="0.2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3">
        <v>10416.5</v>
      </c>
      <c r="AN41" s="52">
        <v>39143.106</v>
      </c>
      <c r="AO41" s="52">
        <v>33879.539653357569</v>
      </c>
      <c r="AP41" s="52">
        <v>17155.253213097727</v>
      </c>
      <c r="AQ41" s="52">
        <v>16724.286440259846</v>
      </c>
      <c r="AR41" s="52">
        <v>5248.9309767509358</v>
      </c>
      <c r="AS41" s="52">
        <v>14.635369891495644</v>
      </c>
      <c r="AT41" s="52">
        <v>2563.5</v>
      </c>
      <c r="AU41" s="52">
        <v>6055.2</v>
      </c>
      <c r="AV41" s="52">
        <v>326.39999999999998</v>
      </c>
      <c r="AW41" s="52">
        <v>5559.3</v>
      </c>
      <c r="AX41" s="52">
        <v>18.100000000000001</v>
      </c>
      <c r="AY41" s="53">
        <v>52927.306000000004</v>
      </c>
      <c r="AZ41" s="52">
        <v>6550.1</v>
      </c>
      <c r="BA41" s="52">
        <v>6842</v>
      </c>
      <c r="BB41" s="52">
        <v>2137.4</v>
      </c>
      <c r="BC41" s="52">
        <v>3925.9</v>
      </c>
      <c r="BD41" s="52">
        <v>465.1</v>
      </c>
      <c r="BE41" s="52">
        <v>12231.4</v>
      </c>
      <c r="BF41" s="52">
        <v>4853.3999999999996</v>
      </c>
      <c r="BG41" s="52">
        <v>510.9</v>
      </c>
      <c r="BH41" s="52">
        <v>3183</v>
      </c>
      <c r="BI41" s="52">
        <v>268.3</v>
      </c>
      <c r="BJ41" s="53">
        <v>86992.205999999991</v>
      </c>
      <c r="BL41" s="15">
        <v>9</v>
      </c>
      <c r="BM41" s="12"/>
      <c r="BN41" s="15">
        <v>9.9600000000000009</v>
      </c>
      <c r="BO41" s="12"/>
      <c r="BP41" s="15">
        <v>9.84</v>
      </c>
      <c r="BQ41" s="12"/>
      <c r="BR41" s="15"/>
      <c r="BS41" s="9"/>
    </row>
    <row r="42" spans="1:71" x14ac:dyDescent="0.2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3">
        <v>10282.799999999999</v>
      </c>
      <c r="AN42" s="52">
        <v>40446.747499999998</v>
      </c>
      <c r="AO42" s="52">
        <v>35098.640793628911</v>
      </c>
      <c r="AP42" s="52">
        <v>18535.922034391493</v>
      </c>
      <c r="AQ42" s="52">
        <v>16562.718759237418</v>
      </c>
      <c r="AR42" s="52">
        <v>5332.8874012656534</v>
      </c>
      <c r="AS42" s="52">
        <v>15.219305105432785</v>
      </c>
      <c r="AT42" s="52">
        <v>2571.9</v>
      </c>
      <c r="AU42" s="52">
        <v>6236.7</v>
      </c>
      <c r="AV42" s="52">
        <v>330.4</v>
      </c>
      <c r="AW42" s="52">
        <v>5757.5</v>
      </c>
      <c r="AX42" s="52">
        <v>18.399999999999999</v>
      </c>
      <c r="AY42" s="53">
        <v>54092.647499999999</v>
      </c>
      <c r="AZ42" s="52">
        <v>6857.2</v>
      </c>
      <c r="BA42" s="52">
        <v>6481.1</v>
      </c>
      <c r="BB42" s="52">
        <v>2293.6</v>
      </c>
      <c r="BC42" s="52">
        <v>3944.6</v>
      </c>
      <c r="BD42" s="52">
        <v>487</v>
      </c>
      <c r="BE42" s="52">
        <v>12405</v>
      </c>
      <c r="BF42" s="52">
        <v>4328.1000000000004</v>
      </c>
      <c r="BG42" s="52">
        <v>465.9</v>
      </c>
      <c r="BH42" s="52">
        <v>3078.7</v>
      </c>
      <c r="BI42" s="52">
        <v>255</v>
      </c>
      <c r="BJ42" s="53">
        <v>88021.447499999995</v>
      </c>
      <c r="BL42" s="15">
        <v>8.0399999999999991</v>
      </c>
      <c r="BM42" s="12"/>
      <c r="BN42" s="15">
        <v>8.8800000000000008</v>
      </c>
      <c r="BO42" s="12"/>
      <c r="BP42" s="15">
        <v>9.24</v>
      </c>
      <c r="BQ42" s="12"/>
      <c r="BR42" s="15">
        <v>8.8800000000000008</v>
      </c>
      <c r="BS42" s="9"/>
    </row>
    <row r="43" spans="1:71" x14ac:dyDescent="0.2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3">
        <v>10807.9</v>
      </c>
      <c r="AN43" s="52">
        <v>40974.224999999999</v>
      </c>
      <c r="AO43" s="52">
        <v>35569.139104901486</v>
      </c>
      <c r="AP43" s="52">
        <v>18890.664847394724</v>
      </c>
      <c r="AQ43" s="52">
        <v>16678.474257506761</v>
      </c>
      <c r="AR43" s="52">
        <v>5389.4816053264667</v>
      </c>
      <c r="AS43" s="52">
        <v>15.604289772043556</v>
      </c>
      <c r="AT43" s="52">
        <v>2563.5</v>
      </c>
      <c r="AU43" s="52">
        <v>6512</v>
      </c>
      <c r="AV43" s="52">
        <v>342.6</v>
      </c>
      <c r="AW43" s="52">
        <v>6021.2</v>
      </c>
      <c r="AX43" s="52">
        <v>22.2</v>
      </c>
      <c r="AY43" s="53">
        <v>55156.825000000004</v>
      </c>
      <c r="AZ43" s="52">
        <v>6666.5</v>
      </c>
      <c r="BA43" s="52">
        <v>6330.6</v>
      </c>
      <c r="BB43" s="52">
        <v>2335.6999999999998</v>
      </c>
      <c r="BC43" s="52">
        <v>3816.7</v>
      </c>
      <c r="BD43" s="52">
        <v>503.4</v>
      </c>
      <c r="BE43" s="52">
        <v>12650.5</v>
      </c>
      <c r="BF43" s="52">
        <v>4091.8</v>
      </c>
      <c r="BG43" s="52">
        <v>459.9</v>
      </c>
      <c r="BH43" s="52">
        <v>2953.5</v>
      </c>
      <c r="BI43" s="52">
        <v>248.3</v>
      </c>
      <c r="BJ43" s="53">
        <v>88810.125</v>
      </c>
      <c r="BL43" s="15">
        <v>8.2799999999999994</v>
      </c>
      <c r="BM43" s="12"/>
      <c r="BN43" s="15">
        <v>8.76</v>
      </c>
      <c r="BO43" s="12"/>
      <c r="BP43" s="15">
        <v>8.52</v>
      </c>
      <c r="BQ43" s="12"/>
      <c r="BR43" s="15">
        <v>7.2</v>
      </c>
      <c r="BS43" s="9"/>
    </row>
    <row r="44" spans="1:71" x14ac:dyDescent="0.2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3">
        <v>10752.800000000001</v>
      </c>
      <c r="AN44" s="52">
        <v>41131.804999999993</v>
      </c>
      <c r="AO44" s="52">
        <v>35685.535215614051</v>
      </c>
      <c r="AP44" s="52">
        <v>19300.627799868864</v>
      </c>
      <c r="AQ44" s="52">
        <v>16384.907415745187</v>
      </c>
      <c r="AR44" s="52">
        <v>5430.6215889342375</v>
      </c>
      <c r="AS44" s="52">
        <v>15.648195451713056</v>
      </c>
      <c r="AT44" s="52">
        <v>2555</v>
      </c>
      <c r="AU44" s="52">
        <v>7657.4</v>
      </c>
      <c r="AV44" s="52">
        <v>348.9</v>
      </c>
      <c r="AW44" s="52">
        <v>7157.4</v>
      </c>
      <c r="AX44" s="52">
        <v>24.9</v>
      </c>
      <c r="AY44" s="53">
        <v>55263.604999999996</v>
      </c>
      <c r="AZ44" s="52">
        <v>6548.5</v>
      </c>
      <c r="BA44" s="52">
        <v>6051.9</v>
      </c>
      <c r="BB44" s="52">
        <v>2350.1999999999998</v>
      </c>
      <c r="BC44" s="52">
        <v>3670.3</v>
      </c>
      <c r="BD44" s="52">
        <v>500.4</v>
      </c>
      <c r="BE44" s="52">
        <v>13010.6</v>
      </c>
      <c r="BF44" s="52">
        <v>4144.3999999999996</v>
      </c>
      <c r="BG44" s="52">
        <v>453.1</v>
      </c>
      <c r="BH44" s="52">
        <v>3108.8</v>
      </c>
      <c r="BI44" s="52">
        <v>239</v>
      </c>
      <c r="BJ44" s="53">
        <v>88645.205000000002</v>
      </c>
      <c r="BL44" s="15">
        <v>7.08</v>
      </c>
      <c r="BM44" s="12"/>
      <c r="BN44" s="15">
        <v>6.72</v>
      </c>
      <c r="BO44" s="12"/>
      <c r="BP44" s="15">
        <v>6.6</v>
      </c>
      <c r="BQ44" s="12"/>
      <c r="BR44" s="15"/>
      <c r="BS44" s="9"/>
    </row>
    <row r="45" spans="1:71" x14ac:dyDescent="0.2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3">
        <v>10535.2</v>
      </c>
      <c r="AN45" s="52">
        <v>40750.096999999994</v>
      </c>
      <c r="AO45" s="52">
        <v>35296.107007061612</v>
      </c>
      <c r="AP45" s="52">
        <v>19530.759785928625</v>
      </c>
      <c r="AQ45" s="52">
        <v>15765.347221132983</v>
      </c>
      <c r="AR45" s="52">
        <v>5438.5996513822975</v>
      </c>
      <c r="AS45" s="52">
        <v>15.390341556096256</v>
      </c>
      <c r="AT45" s="52">
        <v>2541.1999999999998</v>
      </c>
      <c r="AU45" s="52">
        <v>8278.7999999999993</v>
      </c>
      <c r="AV45" s="52">
        <v>355.9</v>
      </c>
      <c r="AW45" s="52">
        <v>7709</v>
      </c>
      <c r="AX45" s="52">
        <v>25.7</v>
      </c>
      <c r="AY45" s="53">
        <v>54726.496999999988</v>
      </c>
      <c r="AZ45" s="52">
        <v>6554.7</v>
      </c>
      <c r="BA45" s="52">
        <v>6124.9</v>
      </c>
      <c r="BB45" s="52">
        <v>2445.3000000000002</v>
      </c>
      <c r="BC45" s="52">
        <v>3715.3</v>
      </c>
      <c r="BD45" s="52">
        <v>529</v>
      </c>
      <c r="BE45" s="52">
        <v>13196.2</v>
      </c>
      <c r="BF45" s="52">
        <v>4551</v>
      </c>
      <c r="BG45" s="52">
        <v>446.6</v>
      </c>
      <c r="BH45" s="52">
        <v>3610.3</v>
      </c>
      <c r="BI45" s="52">
        <v>239</v>
      </c>
      <c r="BJ45" s="53">
        <v>88440.196999999986</v>
      </c>
      <c r="BL45" s="15">
        <v>5.16</v>
      </c>
      <c r="BM45" s="12"/>
      <c r="BN45" s="15">
        <v>4.92</v>
      </c>
      <c r="BO45" s="12"/>
      <c r="BP45" s="15">
        <v>4.68</v>
      </c>
      <c r="BQ45" s="12"/>
      <c r="BR45" s="15">
        <v>5.76</v>
      </c>
      <c r="BS45" s="9"/>
    </row>
    <row r="46" spans="1:71" x14ac:dyDescent="0.2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3">
        <v>10642.5</v>
      </c>
      <c r="AN46" s="52">
        <v>39918.084999999999</v>
      </c>
      <c r="AO46" s="52">
        <v>34486.352100224503</v>
      </c>
      <c r="AP46" s="52">
        <v>19117.509467262546</v>
      </c>
      <c r="AQ46" s="52">
        <v>15368.842632961952</v>
      </c>
      <c r="AR46" s="52">
        <v>5416.6438600541051</v>
      </c>
      <c r="AS46" s="52">
        <v>15.089039721395515</v>
      </c>
      <c r="AT46" s="52">
        <v>2533.6999999999998</v>
      </c>
      <c r="AU46" s="52">
        <v>8098.2</v>
      </c>
      <c r="AV46" s="52">
        <v>363.2</v>
      </c>
      <c r="AW46" s="52">
        <v>7551.7</v>
      </c>
      <c r="AX46" s="52">
        <v>25.9</v>
      </c>
      <c r="AY46" s="53">
        <v>53978.084999999999</v>
      </c>
      <c r="AZ46" s="52">
        <v>6489.1</v>
      </c>
      <c r="BA46" s="52">
        <v>6655.6</v>
      </c>
      <c r="BB46" s="52">
        <v>2500.6999999999998</v>
      </c>
      <c r="BC46" s="52">
        <v>3599.9</v>
      </c>
      <c r="BD46" s="52">
        <v>559.5</v>
      </c>
      <c r="BE46" s="52">
        <v>13297.4</v>
      </c>
      <c r="BF46" s="52">
        <v>4865.2</v>
      </c>
      <c r="BG46" s="52">
        <v>445</v>
      </c>
      <c r="BH46" s="52">
        <v>4017.7</v>
      </c>
      <c r="BI46" s="52">
        <v>241.5</v>
      </c>
      <c r="BJ46" s="53">
        <v>88131.284999999989</v>
      </c>
      <c r="BL46" s="15">
        <v>2.88</v>
      </c>
      <c r="BM46" s="12"/>
      <c r="BN46" s="15">
        <v>3.12</v>
      </c>
      <c r="BO46" s="12"/>
      <c r="BP46" s="15">
        <v>3.24</v>
      </c>
      <c r="BQ46" s="12"/>
      <c r="BR46" s="15"/>
      <c r="BS46" s="9"/>
    </row>
    <row r="47" spans="1:71" x14ac:dyDescent="0.2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3">
        <v>10889.8</v>
      </c>
      <c r="AN47" s="52">
        <v>39593.753499999999</v>
      </c>
      <c r="AO47" s="52">
        <v>34131.500762075637</v>
      </c>
      <c r="AP47" s="52">
        <v>19164.145733628644</v>
      </c>
      <c r="AQ47" s="52">
        <v>14967.355028446997</v>
      </c>
      <c r="AR47" s="52">
        <v>5446.8663626792604</v>
      </c>
      <c r="AS47" s="52">
        <v>15.386375245105386</v>
      </c>
      <c r="AT47" s="52">
        <v>2549.4</v>
      </c>
      <c r="AU47" s="52">
        <v>8882.9</v>
      </c>
      <c r="AV47" s="52">
        <v>367.1</v>
      </c>
      <c r="AW47" s="52">
        <v>8634.1</v>
      </c>
      <c r="AX47" s="52">
        <v>22.1</v>
      </c>
      <c r="AY47" s="53">
        <v>53626.753499999992</v>
      </c>
      <c r="AZ47" s="52">
        <v>6254.1</v>
      </c>
      <c r="BA47" s="52">
        <v>6811.1</v>
      </c>
      <c r="BB47" s="52">
        <v>2540.1999999999998</v>
      </c>
      <c r="BC47" s="52">
        <v>3479.9</v>
      </c>
      <c r="BD47" s="52">
        <v>581.5</v>
      </c>
      <c r="BE47" s="52">
        <v>13804.3</v>
      </c>
      <c r="BF47" s="52">
        <v>5011.3999999999996</v>
      </c>
      <c r="BG47" s="52">
        <v>457.7</v>
      </c>
      <c r="BH47" s="52">
        <v>4069.3</v>
      </c>
      <c r="BI47" s="52">
        <v>234.3</v>
      </c>
      <c r="BJ47" s="53">
        <v>88263.353499999983</v>
      </c>
      <c r="BL47" s="15">
        <v>2.2799999999999998</v>
      </c>
      <c r="BM47" s="12"/>
      <c r="BN47" s="15">
        <v>2.52</v>
      </c>
      <c r="BO47" s="12"/>
      <c r="BP47" s="15">
        <v>2.88</v>
      </c>
      <c r="BQ47" s="12"/>
      <c r="BR47" s="15"/>
      <c r="BS47" s="9"/>
    </row>
    <row r="48" spans="1:71" x14ac:dyDescent="0.2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3">
        <v>11334.300000000001</v>
      </c>
      <c r="AN48" s="52">
        <v>39362.999499999998</v>
      </c>
      <c r="AO48" s="52">
        <v>33885.974422705774</v>
      </c>
      <c r="AP48" s="52">
        <v>19467.215330698567</v>
      </c>
      <c r="AQ48" s="52">
        <v>14418.759092007211</v>
      </c>
      <c r="AR48" s="52">
        <v>5461.150191720063</v>
      </c>
      <c r="AS48" s="52">
        <v>15.874885574161372</v>
      </c>
      <c r="AT48" s="52">
        <v>2589.9</v>
      </c>
      <c r="AU48" s="52">
        <v>9185.2999999999993</v>
      </c>
      <c r="AV48" s="52">
        <v>373.4</v>
      </c>
      <c r="AW48" s="52">
        <v>8999.2000000000007</v>
      </c>
      <c r="AX48" s="52">
        <v>23</v>
      </c>
      <c r="AY48" s="53">
        <v>53823.699500000002</v>
      </c>
      <c r="AZ48" s="52">
        <v>5840.2</v>
      </c>
      <c r="BA48" s="52">
        <v>6723.3</v>
      </c>
      <c r="BB48" s="52">
        <v>2596.1999999999998</v>
      </c>
      <c r="BC48" s="52">
        <v>3469</v>
      </c>
      <c r="BD48" s="52">
        <v>600.20000000000005</v>
      </c>
      <c r="BE48" s="52">
        <v>14288.6</v>
      </c>
      <c r="BF48" s="52">
        <v>5157.5</v>
      </c>
      <c r="BG48" s="52">
        <v>484.1</v>
      </c>
      <c r="BH48" s="52">
        <v>3958.6</v>
      </c>
      <c r="BI48" s="52">
        <v>222.5</v>
      </c>
      <c r="BJ48" s="53">
        <v>88801.699500000002</v>
      </c>
      <c r="BL48" s="15">
        <v>1.56</v>
      </c>
      <c r="BM48" s="12"/>
      <c r="BN48" s="15">
        <v>1.8</v>
      </c>
      <c r="BO48" s="12"/>
      <c r="BP48" s="15">
        <v>2.52</v>
      </c>
      <c r="BQ48" s="12"/>
      <c r="BR48" s="15"/>
      <c r="BS48" s="9"/>
    </row>
    <row r="49" spans="1:71" x14ac:dyDescent="0.2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3">
        <v>11614.900000000001</v>
      </c>
      <c r="AN49" s="52">
        <v>38951.326499999996</v>
      </c>
      <c r="AO49" s="52">
        <v>33515.422366922387</v>
      </c>
      <c r="AP49" s="52">
        <v>19393.325681236558</v>
      </c>
      <c r="AQ49" s="52">
        <v>14122.096685685836</v>
      </c>
      <c r="AR49" s="52">
        <v>5420.0020142450367</v>
      </c>
      <c r="AS49" s="52">
        <v>15.902118832580447</v>
      </c>
      <c r="AT49" s="52">
        <v>2627.5</v>
      </c>
      <c r="AU49" s="52">
        <v>8599.7000000000007</v>
      </c>
      <c r="AV49" s="52">
        <v>371.3</v>
      </c>
      <c r="AW49" s="52">
        <v>8163.3</v>
      </c>
      <c r="AX49" s="52">
        <v>26.3</v>
      </c>
      <c r="AY49" s="53">
        <v>53975.126499999998</v>
      </c>
      <c r="AZ49" s="52">
        <v>5373.4</v>
      </c>
      <c r="BA49" s="52">
        <v>6917.2</v>
      </c>
      <c r="BB49" s="52">
        <v>2653.5</v>
      </c>
      <c r="BC49" s="52">
        <v>3435.3</v>
      </c>
      <c r="BD49" s="52">
        <v>598</v>
      </c>
      <c r="BE49" s="52">
        <v>14355.7</v>
      </c>
      <c r="BF49" s="52">
        <v>5191.6000000000004</v>
      </c>
      <c r="BG49" s="52">
        <v>506.4</v>
      </c>
      <c r="BH49" s="52">
        <v>3819.8</v>
      </c>
      <c r="BI49" s="52">
        <v>208.4</v>
      </c>
      <c r="BJ49" s="53">
        <v>88978.026500000007</v>
      </c>
      <c r="BL49" s="15">
        <v>1.32</v>
      </c>
      <c r="BM49" s="12"/>
      <c r="BN49" s="15">
        <v>1.68</v>
      </c>
      <c r="BO49" s="12"/>
      <c r="BP49" s="15">
        <v>2.76</v>
      </c>
      <c r="BQ49" s="12"/>
      <c r="BR49" s="15"/>
      <c r="BS49" s="9"/>
    </row>
    <row r="50" spans="1:71" x14ac:dyDescent="0.2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3">
        <v>11602.1</v>
      </c>
      <c r="AN50" s="52">
        <v>39030.711499999998</v>
      </c>
      <c r="AO50" s="52">
        <v>33599.126949129088</v>
      </c>
      <c r="AP50" s="52">
        <v>19404.944553162462</v>
      </c>
      <c r="AQ50" s="52">
        <v>14194.182395966629</v>
      </c>
      <c r="AR50" s="52">
        <v>5415.1840935013097</v>
      </c>
      <c r="AS50" s="52">
        <v>16.400457369598918</v>
      </c>
      <c r="AT50" s="52">
        <v>2640.4</v>
      </c>
      <c r="AU50" s="52">
        <v>9977.7000000000007</v>
      </c>
      <c r="AV50" s="52">
        <v>367.8</v>
      </c>
      <c r="AW50" s="52">
        <v>9280</v>
      </c>
      <c r="AX50" s="52">
        <v>24.2</v>
      </c>
      <c r="AY50" s="53">
        <v>54314.511500000001</v>
      </c>
      <c r="AZ50" s="52">
        <v>5141.7</v>
      </c>
      <c r="BA50" s="52">
        <v>6460</v>
      </c>
      <c r="BB50" s="52">
        <v>2778.2</v>
      </c>
      <c r="BC50" s="52">
        <v>3339.5</v>
      </c>
      <c r="BD50" s="52">
        <v>609.4</v>
      </c>
      <c r="BE50" s="52">
        <v>14256.1</v>
      </c>
      <c r="BF50" s="52">
        <v>5355</v>
      </c>
      <c r="BG50" s="52">
        <v>527.9</v>
      </c>
      <c r="BH50" s="52">
        <v>3911.6</v>
      </c>
      <c r="BI50" s="52">
        <v>206.6</v>
      </c>
      <c r="BJ50" s="53">
        <v>88664.111499999999</v>
      </c>
      <c r="BL50" s="15">
        <v>0.84</v>
      </c>
      <c r="BM50" s="12"/>
      <c r="BN50" s="15">
        <v>1.44</v>
      </c>
      <c r="BO50" s="12"/>
      <c r="BP50" s="15">
        <v>1.8</v>
      </c>
      <c r="BQ50" s="12"/>
      <c r="BR50" s="15"/>
      <c r="BS50" s="9"/>
    </row>
    <row r="51" spans="1:71" x14ac:dyDescent="0.2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3">
        <v>11748.2</v>
      </c>
      <c r="AN51" s="52">
        <v>38922.2065</v>
      </c>
      <c r="AO51" s="52">
        <v>33459.217923163866</v>
      </c>
      <c r="AP51" s="52">
        <v>18969.51065200445</v>
      </c>
      <c r="AQ51" s="52">
        <v>14489.707271159417</v>
      </c>
      <c r="AR51" s="52">
        <v>5445.7129654649843</v>
      </c>
      <c r="AS51" s="52">
        <v>17.275611371149008</v>
      </c>
      <c r="AT51" s="52">
        <v>2652.7</v>
      </c>
      <c r="AU51" s="52">
        <v>10236.6</v>
      </c>
      <c r="AV51" s="52">
        <v>365.5</v>
      </c>
      <c r="AW51" s="52">
        <v>9492.9</v>
      </c>
      <c r="AX51" s="52">
        <v>21.6</v>
      </c>
      <c r="AY51" s="53">
        <v>54410.706499999993</v>
      </c>
      <c r="AZ51" s="52">
        <v>5360.1</v>
      </c>
      <c r="BA51" s="52">
        <v>6128.7</v>
      </c>
      <c r="BB51" s="52">
        <v>2906.9</v>
      </c>
      <c r="BC51" s="52">
        <v>3309.1</v>
      </c>
      <c r="BD51" s="52">
        <v>614.29999999999995</v>
      </c>
      <c r="BE51" s="52">
        <v>14330.7</v>
      </c>
      <c r="BF51" s="52">
        <v>5723.9</v>
      </c>
      <c r="BG51" s="52">
        <v>552.70000000000005</v>
      </c>
      <c r="BH51" s="52">
        <v>4174.6000000000004</v>
      </c>
      <c r="BI51" s="52">
        <v>200.9</v>
      </c>
      <c r="BJ51" s="53">
        <v>88961.606499999994</v>
      </c>
      <c r="BL51" s="15">
        <v>0.48</v>
      </c>
      <c r="BM51" s="12"/>
      <c r="BN51" s="15">
        <v>0.72</v>
      </c>
      <c r="BO51" s="12"/>
      <c r="BP51" s="15">
        <v>1.44</v>
      </c>
      <c r="BQ51" s="12"/>
      <c r="BR51" s="15">
        <v>4.68</v>
      </c>
      <c r="BS51" s="9"/>
    </row>
    <row r="52" spans="1:71" x14ac:dyDescent="0.2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3">
        <v>12297.4</v>
      </c>
      <c r="AN52" s="52">
        <v>38276.271000000001</v>
      </c>
      <c r="AO52" s="52">
        <v>32721.827640367213</v>
      </c>
      <c r="AP52" s="52">
        <v>18684.632621965506</v>
      </c>
      <c r="AQ52" s="52">
        <v>14037.195018401708</v>
      </c>
      <c r="AR52" s="52">
        <v>5536.6483673070161</v>
      </c>
      <c r="AS52" s="52">
        <v>17.79499232576984</v>
      </c>
      <c r="AT52" s="52">
        <v>2663.4</v>
      </c>
      <c r="AU52" s="52">
        <v>9042</v>
      </c>
      <c r="AV52" s="52">
        <v>363.8</v>
      </c>
      <c r="AW52" s="52">
        <v>8393.2000000000007</v>
      </c>
      <c r="AX52" s="52">
        <v>21.5</v>
      </c>
      <c r="AY52" s="53">
        <v>54228.171000000002</v>
      </c>
      <c r="AZ52" s="52">
        <v>5369</v>
      </c>
      <c r="BA52" s="52">
        <v>6576.2</v>
      </c>
      <c r="BB52" s="52">
        <v>3040.4</v>
      </c>
      <c r="BC52" s="52">
        <v>3282.4</v>
      </c>
      <c r="BD52" s="52">
        <v>607</v>
      </c>
      <c r="BE52" s="52">
        <v>13900.9</v>
      </c>
      <c r="BF52" s="52">
        <v>6234.5</v>
      </c>
      <c r="BG52" s="52">
        <v>580.9</v>
      </c>
      <c r="BH52" s="52">
        <v>4371.3</v>
      </c>
      <c r="BI52" s="52">
        <v>200.3</v>
      </c>
      <c r="BJ52" s="53">
        <v>89247.870999999985</v>
      </c>
      <c r="BL52" s="15">
        <v>0.6</v>
      </c>
      <c r="BM52" s="12"/>
      <c r="BN52" s="15">
        <v>1.08</v>
      </c>
      <c r="BO52" s="12"/>
      <c r="BP52" s="15">
        <v>2.16</v>
      </c>
      <c r="BQ52" s="12"/>
      <c r="BR52" s="15">
        <v>4.4400000000000004</v>
      </c>
      <c r="BS52" s="9"/>
    </row>
    <row r="53" spans="1:71" x14ac:dyDescent="0.2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3">
        <v>12344.199999999999</v>
      </c>
      <c r="AN53" s="52">
        <v>37715.618499999997</v>
      </c>
      <c r="AO53" s="52">
        <v>32020.601049660676</v>
      </c>
      <c r="AP53" s="52">
        <v>18508.699749076077</v>
      </c>
      <c r="AQ53" s="52">
        <v>13511.901300584601</v>
      </c>
      <c r="AR53" s="52">
        <v>5676.4625491984616</v>
      </c>
      <c r="AS53" s="52">
        <v>18.554901140854088</v>
      </c>
      <c r="AT53" s="52">
        <v>2670.1</v>
      </c>
      <c r="AU53" s="52">
        <v>9653.9</v>
      </c>
      <c r="AV53" s="52">
        <v>358.3</v>
      </c>
      <c r="AW53" s="52">
        <v>8873.2999999999993</v>
      </c>
      <c r="AX53" s="52">
        <v>24.8</v>
      </c>
      <c r="AY53" s="53">
        <v>53844.018499999991</v>
      </c>
      <c r="AZ53" s="52">
        <v>5266</v>
      </c>
      <c r="BA53" s="52">
        <v>6458.5</v>
      </c>
      <c r="BB53" s="52">
        <v>3201.8</v>
      </c>
      <c r="BC53" s="52">
        <v>3182</v>
      </c>
      <c r="BD53" s="52">
        <v>591.6</v>
      </c>
      <c r="BE53" s="52">
        <v>13440.4</v>
      </c>
      <c r="BF53" s="52">
        <v>6669.4</v>
      </c>
      <c r="BG53" s="52">
        <v>607.5</v>
      </c>
      <c r="BH53" s="52">
        <v>4552.1000000000004</v>
      </c>
      <c r="BI53" s="52">
        <v>192.7</v>
      </c>
      <c r="BJ53" s="53">
        <v>88516.4185</v>
      </c>
      <c r="BL53" s="15">
        <v>0.6</v>
      </c>
      <c r="BM53" s="12"/>
      <c r="BN53" s="15">
        <v>1.2</v>
      </c>
      <c r="BO53" s="12"/>
      <c r="BP53" s="15">
        <v>2.52</v>
      </c>
      <c r="BQ53" s="12"/>
      <c r="BR53" s="15">
        <v>5.04</v>
      </c>
      <c r="BS53" s="9"/>
    </row>
    <row r="54" spans="1:71" x14ac:dyDescent="0.2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3">
        <v>12322.400000000001</v>
      </c>
      <c r="AN54" s="52">
        <v>37243.563500000004</v>
      </c>
      <c r="AO54" s="52">
        <v>31467.711702885223</v>
      </c>
      <c r="AP54" s="52">
        <v>18129.192231524659</v>
      </c>
      <c r="AQ54" s="52">
        <v>13338.519471360567</v>
      </c>
      <c r="AR54" s="52">
        <v>5756.7866279271657</v>
      </c>
      <c r="AS54" s="52">
        <v>19.065169187605278</v>
      </c>
      <c r="AT54" s="52">
        <v>2643.8</v>
      </c>
      <c r="AU54" s="52">
        <v>9434.2999999999993</v>
      </c>
      <c r="AV54" s="52">
        <v>347.8</v>
      </c>
      <c r="AW54" s="52">
        <v>8629</v>
      </c>
      <c r="AX54" s="52">
        <v>23.9</v>
      </c>
      <c r="AY54" s="53">
        <v>53338.963500000005</v>
      </c>
      <c r="AZ54" s="52">
        <v>5365.9</v>
      </c>
      <c r="BA54" s="52">
        <v>6421.3</v>
      </c>
      <c r="BB54" s="52">
        <v>3396.7</v>
      </c>
      <c r="BC54" s="52">
        <v>2992.3</v>
      </c>
      <c r="BD54" s="52">
        <v>533.70000000000005</v>
      </c>
      <c r="BE54" s="52">
        <v>13640.6</v>
      </c>
      <c r="BF54" s="52">
        <v>6644.4</v>
      </c>
      <c r="BG54" s="52">
        <v>615.5</v>
      </c>
      <c r="BH54" s="52">
        <v>4382.8</v>
      </c>
      <c r="BI54" s="52">
        <v>183.4</v>
      </c>
      <c r="BJ54" s="53">
        <v>88383.163500000024</v>
      </c>
      <c r="BL54" s="15">
        <v>0.6</v>
      </c>
      <c r="BM54" s="12"/>
      <c r="BN54" s="15">
        <v>1.44</v>
      </c>
      <c r="BO54" s="12"/>
      <c r="BP54" s="15">
        <v>2.88</v>
      </c>
      <c r="BQ54" s="12"/>
      <c r="BR54" s="15">
        <v>4.8</v>
      </c>
      <c r="BS54" s="9"/>
    </row>
    <row r="55" spans="1:71" x14ac:dyDescent="0.2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3">
        <v>13279.1</v>
      </c>
      <c r="AN55" s="52">
        <v>37323.645499999999</v>
      </c>
      <c r="AO55" s="52">
        <v>31531.232220466281</v>
      </c>
      <c r="AP55" s="52">
        <v>18497.41770435905</v>
      </c>
      <c r="AQ55" s="52">
        <v>13033.814516107237</v>
      </c>
      <c r="AR55" s="52">
        <v>5773.8070601439676</v>
      </c>
      <c r="AS55" s="52">
        <v>18.606219389748464</v>
      </c>
      <c r="AT55" s="52">
        <v>2628</v>
      </c>
      <c r="AU55" s="52">
        <v>9448.2000000000007</v>
      </c>
      <c r="AV55" s="52">
        <v>346.3</v>
      </c>
      <c r="AW55" s="52">
        <v>8712.9</v>
      </c>
      <c r="AX55" s="52">
        <v>24</v>
      </c>
      <c r="AY55" s="53">
        <v>54288.345500000003</v>
      </c>
      <c r="AZ55" s="52">
        <v>5387.9</v>
      </c>
      <c r="BA55" s="52">
        <v>6214.4</v>
      </c>
      <c r="BB55" s="52">
        <v>3451.2</v>
      </c>
      <c r="BC55" s="52">
        <v>2965.1</v>
      </c>
      <c r="BD55" s="52">
        <v>496.9</v>
      </c>
      <c r="BE55" s="52">
        <v>13853.4</v>
      </c>
      <c r="BF55" s="52">
        <v>6548.9</v>
      </c>
      <c r="BG55" s="52">
        <v>624.20000000000005</v>
      </c>
      <c r="BH55" s="52">
        <v>4071.8</v>
      </c>
      <c r="BI55" s="52">
        <v>180</v>
      </c>
      <c r="BJ55" s="53">
        <v>89578.545499999993</v>
      </c>
      <c r="BL55" s="15">
        <v>0.72</v>
      </c>
      <c r="BM55" s="12"/>
      <c r="BN55" s="15">
        <v>1.44</v>
      </c>
      <c r="BO55" s="12"/>
      <c r="BP55" s="15">
        <v>2.52</v>
      </c>
      <c r="BQ55" s="12"/>
      <c r="BR55" s="15">
        <v>4.68</v>
      </c>
      <c r="BS55" s="9"/>
    </row>
    <row r="56" spans="1:71" x14ac:dyDescent="0.2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3">
        <v>13780.599999999999</v>
      </c>
      <c r="AN56" s="52">
        <v>37860.046999999999</v>
      </c>
      <c r="AO56" s="52">
        <v>31980.308295079903</v>
      </c>
      <c r="AP56" s="52">
        <v>18853.941302038595</v>
      </c>
      <c r="AQ56" s="52">
        <v>13126.366993041313</v>
      </c>
      <c r="AR56" s="52">
        <v>5860.8540311115003</v>
      </c>
      <c r="AS56" s="52">
        <v>18.884673808598535</v>
      </c>
      <c r="AT56" s="52">
        <v>2656.8</v>
      </c>
      <c r="AU56" s="52">
        <v>9729.9</v>
      </c>
      <c r="AV56" s="52">
        <v>351.9</v>
      </c>
      <c r="AW56" s="52">
        <v>8973</v>
      </c>
      <c r="AX56" s="52">
        <v>25</v>
      </c>
      <c r="AY56" s="53">
        <v>55381.247000000003</v>
      </c>
      <c r="AZ56" s="52">
        <v>5513.4</v>
      </c>
      <c r="BA56" s="52">
        <v>5823.5</v>
      </c>
      <c r="BB56" s="52">
        <v>3528.4</v>
      </c>
      <c r="BC56" s="52">
        <v>2818.5</v>
      </c>
      <c r="BD56" s="52">
        <v>495.1</v>
      </c>
      <c r="BE56" s="52">
        <v>13930.3</v>
      </c>
      <c r="BF56" s="52">
        <v>6640.9</v>
      </c>
      <c r="BG56" s="52">
        <v>635.4</v>
      </c>
      <c r="BH56" s="52">
        <v>4138.8999999999996</v>
      </c>
      <c r="BI56" s="52">
        <v>218.4</v>
      </c>
      <c r="BJ56" s="53">
        <v>90409.447</v>
      </c>
      <c r="BL56" s="15">
        <v>0.6</v>
      </c>
      <c r="BM56" s="12"/>
      <c r="BN56" s="15">
        <v>1.2</v>
      </c>
      <c r="BO56" s="12"/>
      <c r="BP56" s="15">
        <v>2.2799999999999998</v>
      </c>
      <c r="BQ56" s="12"/>
      <c r="BR56" s="15">
        <v>5.04</v>
      </c>
      <c r="BS56" s="9"/>
    </row>
    <row r="57" spans="1:71" x14ac:dyDescent="0.2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3">
        <v>13876.100000000002</v>
      </c>
      <c r="AN57" s="52">
        <v>38257.214500000002</v>
      </c>
      <c r="AO57" s="52">
        <v>32334.633383212196</v>
      </c>
      <c r="AP57" s="52">
        <v>19120.541238063564</v>
      </c>
      <c r="AQ57" s="52">
        <v>13214.092145148627</v>
      </c>
      <c r="AR57" s="52">
        <v>5903.7201844979963</v>
      </c>
      <c r="AS57" s="52">
        <v>18.860932289811295</v>
      </c>
      <c r="AT57" s="52">
        <v>2634.1</v>
      </c>
      <c r="AU57" s="52">
        <v>8937.2000000000007</v>
      </c>
      <c r="AV57" s="52">
        <v>358.3</v>
      </c>
      <c r="AW57" s="52">
        <v>8217.1</v>
      </c>
      <c r="AX57" s="52">
        <v>25.2</v>
      </c>
      <c r="AY57" s="53">
        <v>55820.614500000003</v>
      </c>
      <c r="AZ57" s="52">
        <v>5581.3</v>
      </c>
      <c r="BA57" s="52">
        <v>6024.2</v>
      </c>
      <c r="BB57" s="52">
        <v>3639.8</v>
      </c>
      <c r="BC57" s="52">
        <v>2773.5</v>
      </c>
      <c r="BD57" s="52">
        <v>477.8</v>
      </c>
      <c r="BE57" s="52">
        <v>13893.7</v>
      </c>
      <c r="BF57" s="52">
        <v>6848.9</v>
      </c>
      <c r="BG57" s="52">
        <v>639.29999999999995</v>
      </c>
      <c r="BH57" s="52">
        <v>4291.7</v>
      </c>
      <c r="BI57" s="52">
        <v>219.3</v>
      </c>
      <c r="BJ57" s="53">
        <v>91188.114500000011</v>
      </c>
      <c r="BL57" s="15">
        <v>0.6</v>
      </c>
      <c r="BM57" s="12"/>
      <c r="BN57" s="15">
        <v>1.56</v>
      </c>
      <c r="BO57" s="12"/>
      <c r="BP57" s="15">
        <v>2.88</v>
      </c>
      <c r="BQ57" s="12"/>
      <c r="BR57" s="15">
        <v>4.8</v>
      </c>
      <c r="BS57" s="9"/>
    </row>
    <row r="58" spans="1:71" x14ac:dyDescent="0.2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3">
        <v>14204.7</v>
      </c>
      <c r="AN58" s="52">
        <v>38357.781499999997</v>
      </c>
      <c r="AO58" s="52">
        <v>32494.534270387016</v>
      </c>
      <c r="AP58" s="52">
        <v>19252.097325124385</v>
      </c>
      <c r="AQ58" s="52">
        <v>13242.436945262631</v>
      </c>
      <c r="AR58" s="52">
        <v>5845.344924643704</v>
      </c>
      <c r="AS58" s="52">
        <v>17.902304969275029</v>
      </c>
      <c r="AT58" s="52">
        <v>2654.9</v>
      </c>
      <c r="AU58" s="52">
        <v>9111.7000000000007</v>
      </c>
      <c r="AV58" s="52">
        <v>363.7</v>
      </c>
      <c r="AW58" s="52">
        <v>8195.2000000000007</v>
      </c>
      <c r="AX58" s="52">
        <v>22.5</v>
      </c>
      <c r="AY58" s="53">
        <v>56475.081499999993</v>
      </c>
      <c r="AZ58" s="52">
        <v>5580.5</v>
      </c>
      <c r="BA58" s="52">
        <v>6253.2</v>
      </c>
      <c r="BB58" s="52">
        <v>3908.2</v>
      </c>
      <c r="BC58" s="52">
        <v>2940</v>
      </c>
      <c r="BD58" s="52">
        <v>465.5</v>
      </c>
      <c r="BE58" s="52">
        <v>13899.1</v>
      </c>
      <c r="BF58" s="52">
        <v>7295</v>
      </c>
      <c r="BG58" s="52">
        <v>656.9</v>
      </c>
      <c r="BH58" s="52">
        <v>4671.3</v>
      </c>
      <c r="BI58" s="52">
        <v>222.4</v>
      </c>
      <c r="BJ58" s="53">
        <v>92579.781499999997</v>
      </c>
      <c r="BL58" s="15">
        <v>0.6</v>
      </c>
      <c r="BM58" s="12"/>
      <c r="BN58" s="15">
        <v>1.32</v>
      </c>
      <c r="BO58" s="12"/>
      <c r="BP58" s="15">
        <v>2.52</v>
      </c>
      <c r="BQ58" s="12"/>
      <c r="BR58" s="15">
        <v>5.64</v>
      </c>
      <c r="BS58" s="9"/>
    </row>
    <row r="59" spans="1:71" x14ac:dyDescent="0.2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3">
        <v>14333.8</v>
      </c>
      <c r="AN59" s="52">
        <v>38372.536500000002</v>
      </c>
      <c r="AO59" s="52">
        <v>32588.987495069134</v>
      </c>
      <c r="AP59" s="52">
        <v>19221.709106152968</v>
      </c>
      <c r="AQ59" s="52">
        <v>13367.278388916164</v>
      </c>
      <c r="AR59" s="52">
        <v>5765.5985885771806</v>
      </c>
      <c r="AS59" s="52">
        <v>17.950416353690819</v>
      </c>
      <c r="AT59" s="52">
        <v>2726.8</v>
      </c>
      <c r="AU59" s="52">
        <v>10228.299999999999</v>
      </c>
      <c r="AV59" s="52">
        <v>378.7</v>
      </c>
      <c r="AW59" s="52">
        <v>9122</v>
      </c>
      <c r="AX59" s="52">
        <v>21</v>
      </c>
      <c r="AY59" s="53">
        <v>56897.136500000008</v>
      </c>
      <c r="AZ59" s="52">
        <v>5716.3</v>
      </c>
      <c r="BA59" s="52">
        <v>6582.8</v>
      </c>
      <c r="BB59" s="52">
        <v>4137.5</v>
      </c>
      <c r="BC59" s="52">
        <v>2734</v>
      </c>
      <c r="BD59" s="52">
        <v>468.9</v>
      </c>
      <c r="BE59" s="52">
        <v>13936</v>
      </c>
      <c r="BF59" s="52">
        <v>7771.4</v>
      </c>
      <c r="BG59" s="52">
        <v>680.1</v>
      </c>
      <c r="BH59" s="52">
        <v>5179.6000000000004</v>
      </c>
      <c r="BI59" s="52">
        <v>225</v>
      </c>
      <c r="BJ59" s="53">
        <v>93519.536500000017</v>
      </c>
      <c r="BL59" s="15">
        <v>0.6</v>
      </c>
      <c r="BM59" s="12"/>
      <c r="BN59" s="15">
        <v>1.2</v>
      </c>
      <c r="BO59" s="12"/>
      <c r="BP59" s="15">
        <v>2.88</v>
      </c>
      <c r="BQ59" s="12"/>
      <c r="BR59" s="15">
        <v>6.24</v>
      </c>
      <c r="BS59" s="9"/>
    </row>
    <row r="60" spans="1:71" x14ac:dyDescent="0.2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3">
        <v>15026.7</v>
      </c>
      <c r="AN60" s="52">
        <v>38750.056500000006</v>
      </c>
      <c r="AO60" s="52">
        <v>32902.500252378843</v>
      </c>
      <c r="AP60" s="52">
        <v>19753.884069378804</v>
      </c>
      <c r="AQ60" s="52">
        <v>13148.616183000036</v>
      </c>
      <c r="AR60" s="52">
        <v>5829.4139075322246</v>
      </c>
      <c r="AS60" s="52">
        <v>18.14234008893979</v>
      </c>
      <c r="AT60" s="52">
        <v>2738.3</v>
      </c>
      <c r="AU60" s="52">
        <v>10010.700000000001</v>
      </c>
      <c r="AV60" s="52">
        <v>397.4</v>
      </c>
      <c r="AW60" s="52">
        <v>9143</v>
      </c>
      <c r="AX60" s="52">
        <v>22.6</v>
      </c>
      <c r="AY60" s="53">
        <v>57757.556500000006</v>
      </c>
      <c r="AZ60" s="52">
        <v>5942</v>
      </c>
      <c r="BA60" s="52">
        <v>5973.6</v>
      </c>
      <c r="BB60" s="52">
        <v>4394</v>
      </c>
      <c r="BC60" s="52">
        <v>2760.5</v>
      </c>
      <c r="BD60" s="52">
        <v>465.6</v>
      </c>
      <c r="BE60" s="52">
        <v>14023.2</v>
      </c>
      <c r="BF60" s="52">
        <v>7915.7</v>
      </c>
      <c r="BG60" s="52">
        <v>678.3</v>
      </c>
      <c r="BH60" s="52">
        <v>5058.8</v>
      </c>
      <c r="BI60" s="52">
        <v>230.5</v>
      </c>
      <c r="BJ60" s="53">
        <v>94621.156500000012</v>
      </c>
      <c r="BL60" s="15">
        <v>0.72</v>
      </c>
      <c r="BM60" s="12"/>
      <c r="BN60" s="15">
        <v>1.8</v>
      </c>
      <c r="BO60" s="12"/>
      <c r="BP60" s="15">
        <v>3.84</v>
      </c>
      <c r="BQ60" s="12"/>
      <c r="BR60" s="15">
        <v>6</v>
      </c>
      <c r="BS60" s="9"/>
    </row>
    <row r="61" spans="1:71" x14ac:dyDescent="0.2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3">
        <v>15322.400000000001</v>
      </c>
      <c r="AN61" s="52">
        <v>38568.084000000003</v>
      </c>
      <c r="AO61" s="52">
        <v>32524.222385205783</v>
      </c>
      <c r="AP61" s="52">
        <v>19938.935165132967</v>
      </c>
      <c r="AQ61" s="52">
        <v>12585.287220072814</v>
      </c>
      <c r="AR61" s="52">
        <v>6025.1745284205235</v>
      </c>
      <c r="AS61" s="52">
        <v>18.687086373701366</v>
      </c>
      <c r="AT61" s="52">
        <v>2798.4</v>
      </c>
      <c r="AU61" s="52">
        <v>8713.5</v>
      </c>
      <c r="AV61" s="52">
        <v>407</v>
      </c>
      <c r="AW61" s="52">
        <v>8152.6</v>
      </c>
      <c r="AX61" s="52">
        <v>22.9</v>
      </c>
      <c r="AY61" s="53">
        <v>57633.884000000005</v>
      </c>
      <c r="AZ61" s="52">
        <v>6170</v>
      </c>
      <c r="BA61" s="52">
        <v>5144.3</v>
      </c>
      <c r="BB61" s="52">
        <v>4613.5</v>
      </c>
      <c r="BC61" s="52">
        <v>2870.4</v>
      </c>
      <c r="BD61" s="52">
        <v>457</v>
      </c>
      <c r="BE61" s="52">
        <v>14141.4</v>
      </c>
      <c r="BF61" s="52">
        <v>7964.7</v>
      </c>
      <c r="BG61" s="52">
        <v>677.6</v>
      </c>
      <c r="BH61" s="52">
        <v>4616.6000000000004</v>
      </c>
      <c r="BI61" s="52">
        <v>233.2</v>
      </c>
      <c r="BJ61" s="53">
        <v>94822.983999999997</v>
      </c>
      <c r="BL61" s="15">
        <v>0.96</v>
      </c>
      <c r="BM61" s="12"/>
      <c r="BN61" s="15">
        <v>2.16</v>
      </c>
      <c r="BO61" s="12"/>
      <c r="BP61" s="15">
        <v>3.96</v>
      </c>
      <c r="BQ61" s="12"/>
      <c r="BR61" s="15">
        <v>5.28</v>
      </c>
      <c r="BS61" s="9"/>
    </row>
    <row r="62" spans="1:71" x14ac:dyDescent="0.2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3">
        <v>15145.300000000001</v>
      </c>
      <c r="AN62" s="52">
        <v>38190.2745</v>
      </c>
      <c r="AO62" s="52">
        <v>31964.017020677191</v>
      </c>
      <c r="AP62" s="52">
        <v>19748.925239688706</v>
      </c>
      <c r="AQ62" s="52">
        <v>12215.091780988489</v>
      </c>
      <c r="AR62" s="52">
        <v>6207.6776095918976</v>
      </c>
      <c r="AS62" s="52">
        <v>18.579869730908705</v>
      </c>
      <c r="AT62" s="52">
        <v>2838.2</v>
      </c>
      <c r="AU62" s="52">
        <v>9277.2000000000007</v>
      </c>
      <c r="AV62" s="52">
        <v>405.8</v>
      </c>
      <c r="AW62" s="52">
        <v>8628.5</v>
      </c>
      <c r="AX62" s="52">
        <v>23.8</v>
      </c>
      <c r="AY62" s="53">
        <v>57204.474499999997</v>
      </c>
      <c r="AZ62" s="52">
        <v>6019.6</v>
      </c>
      <c r="BA62" s="52">
        <v>4632.7</v>
      </c>
      <c r="BB62" s="52">
        <v>4800.5</v>
      </c>
      <c r="BC62" s="52">
        <v>2778.6</v>
      </c>
      <c r="BD62" s="52">
        <v>411</v>
      </c>
      <c r="BE62" s="52">
        <v>14197.3</v>
      </c>
      <c r="BF62" s="52">
        <v>8126.9</v>
      </c>
      <c r="BG62" s="52">
        <v>701.6</v>
      </c>
      <c r="BH62" s="52">
        <v>4952.2</v>
      </c>
      <c r="BI62" s="52">
        <v>229.6</v>
      </c>
      <c r="BJ62" s="53">
        <v>93690.874500000005</v>
      </c>
      <c r="BL62" s="15">
        <v>1.68</v>
      </c>
      <c r="BM62" s="12"/>
      <c r="BN62" s="15">
        <v>2.64</v>
      </c>
      <c r="BO62" s="12"/>
      <c r="BP62" s="15">
        <v>4.5599999999999996</v>
      </c>
      <c r="BQ62" s="12"/>
      <c r="BR62" s="15">
        <v>5.4</v>
      </c>
      <c r="BS62" s="9"/>
    </row>
    <row r="63" spans="1:71" x14ac:dyDescent="0.2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3">
        <v>15125.600000000002</v>
      </c>
      <c r="AN63" s="52">
        <v>38130.356999999996</v>
      </c>
      <c r="AO63" s="52">
        <v>31706.712587466274</v>
      </c>
      <c r="AP63" s="52">
        <v>19984.555250601068</v>
      </c>
      <c r="AQ63" s="52">
        <v>11722.157336865203</v>
      </c>
      <c r="AR63" s="52">
        <v>6405.7321550564275</v>
      </c>
      <c r="AS63" s="52">
        <v>17.912257477297867</v>
      </c>
      <c r="AT63" s="52">
        <v>2831.9</v>
      </c>
      <c r="AU63" s="52">
        <v>8683</v>
      </c>
      <c r="AV63" s="52">
        <v>403.4</v>
      </c>
      <c r="AW63" s="52">
        <v>7991.7</v>
      </c>
      <c r="AX63" s="52">
        <v>22.9</v>
      </c>
      <c r="AY63" s="53">
        <v>57159.656999999999</v>
      </c>
      <c r="AZ63" s="52">
        <v>5958.8</v>
      </c>
      <c r="BA63" s="52">
        <v>4398.3999999999996</v>
      </c>
      <c r="BB63" s="52">
        <v>4880.3999999999996</v>
      </c>
      <c r="BC63" s="52">
        <v>2781.2</v>
      </c>
      <c r="BD63" s="52">
        <v>356.8</v>
      </c>
      <c r="BE63" s="52">
        <v>14245.6</v>
      </c>
      <c r="BF63" s="52">
        <v>8407.2000000000007</v>
      </c>
      <c r="BG63" s="52">
        <v>714.9</v>
      </c>
      <c r="BH63" s="52">
        <v>5060.1000000000004</v>
      </c>
      <c r="BI63" s="52">
        <v>228.1</v>
      </c>
      <c r="BJ63" s="53">
        <v>93614.757000000012</v>
      </c>
      <c r="BL63" s="15">
        <v>2.64</v>
      </c>
      <c r="BM63" s="12"/>
      <c r="BN63" s="15">
        <v>3.72</v>
      </c>
      <c r="BO63" s="12"/>
      <c r="BP63" s="15">
        <v>5.4</v>
      </c>
      <c r="BQ63" s="12"/>
      <c r="BR63" s="15">
        <v>6.24</v>
      </c>
      <c r="BS63" s="9"/>
    </row>
    <row r="64" spans="1:71" x14ac:dyDescent="0.2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3">
        <v>15648.8</v>
      </c>
      <c r="AN64" s="52">
        <v>38170.465499999991</v>
      </c>
      <c r="AO64" s="52">
        <v>31505.86862087408</v>
      </c>
      <c r="AP64" s="52">
        <v>20213.248214878084</v>
      </c>
      <c r="AQ64" s="52">
        <v>11292.620405995996</v>
      </c>
      <c r="AR64" s="52">
        <v>6646.8174684705655</v>
      </c>
      <c r="AS64" s="52">
        <v>17.779410655359182</v>
      </c>
      <c r="AT64" s="52">
        <v>2869.5</v>
      </c>
      <c r="AU64" s="52">
        <v>7354.6</v>
      </c>
      <c r="AV64" s="52">
        <v>404.1</v>
      </c>
      <c r="AW64" s="52">
        <v>6787.8</v>
      </c>
      <c r="AX64" s="52">
        <v>21.9</v>
      </c>
      <c r="AY64" s="53">
        <v>57637.765499999994</v>
      </c>
      <c r="AZ64" s="52">
        <v>6293.5</v>
      </c>
      <c r="BA64" s="52">
        <v>4471.1000000000004</v>
      </c>
      <c r="BB64" s="52">
        <v>5042</v>
      </c>
      <c r="BC64" s="52">
        <v>2817</v>
      </c>
      <c r="BD64" s="52">
        <v>342.7</v>
      </c>
      <c r="BE64" s="52">
        <v>14343.3</v>
      </c>
      <c r="BF64" s="52">
        <v>8619.4</v>
      </c>
      <c r="BG64" s="52">
        <v>728.6</v>
      </c>
      <c r="BH64" s="52">
        <v>4535.8999999999996</v>
      </c>
      <c r="BI64" s="52">
        <v>227.1</v>
      </c>
      <c r="BJ64" s="53">
        <v>95532.3655</v>
      </c>
      <c r="BL64" s="15">
        <v>3</v>
      </c>
      <c r="BM64" s="12"/>
      <c r="BN64" s="15">
        <v>4.08</v>
      </c>
      <c r="BO64" s="12"/>
      <c r="BP64" s="15">
        <v>5.52</v>
      </c>
      <c r="BQ64" s="12"/>
      <c r="BR64" s="15">
        <v>6.36</v>
      </c>
      <c r="BS64" s="9"/>
    </row>
    <row r="65" spans="1:71" x14ac:dyDescent="0.2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3">
        <v>15449</v>
      </c>
      <c r="AN65" s="52">
        <v>38748.204499999993</v>
      </c>
      <c r="AO65" s="52">
        <v>31872.182867958356</v>
      </c>
      <c r="AP65" s="52">
        <v>20693.5028062782</v>
      </c>
      <c r="AQ65" s="52">
        <v>11178.680061680152</v>
      </c>
      <c r="AR65" s="52">
        <v>6858.13572493834</v>
      </c>
      <c r="AS65" s="52">
        <v>17.885907103306351</v>
      </c>
      <c r="AT65" s="52">
        <v>2849.5</v>
      </c>
      <c r="AU65" s="52">
        <v>8166.7</v>
      </c>
      <c r="AV65" s="52">
        <v>400.9</v>
      </c>
      <c r="AW65" s="52">
        <v>7487.8</v>
      </c>
      <c r="AX65" s="52">
        <v>21.8</v>
      </c>
      <c r="AY65" s="53">
        <v>58104.704499999993</v>
      </c>
      <c r="AZ65" s="52">
        <v>6754.4</v>
      </c>
      <c r="BA65" s="52">
        <v>4500.3999999999996</v>
      </c>
      <c r="BB65" s="52">
        <v>5267.3</v>
      </c>
      <c r="BC65" s="52">
        <v>2697.6</v>
      </c>
      <c r="BD65" s="52">
        <v>335</v>
      </c>
      <c r="BE65" s="52">
        <v>14370</v>
      </c>
      <c r="BF65" s="52">
        <v>8659.2999999999993</v>
      </c>
      <c r="BG65" s="52">
        <v>753.2</v>
      </c>
      <c r="BH65" s="52">
        <v>4343.3</v>
      </c>
      <c r="BI65" s="52">
        <v>223.8</v>
      </c>
      <c r="BJ65" s="53">
        <v>96874.804499999998</v>
      </c>
      <c r="BL65" s="15">
        <v>3.24</v>
      </c>
      <c r="BM65" s="12"/>
      <c r="BN65" s="15">
        <v>4.32</v>
      </c>
      <c r="BO65" s="12"/>
      <c r="BP65" s="15">
        <v>5.4</v>
      </c>
      <c r="BQ65" s="12"/>
      <c r="BR65" s="15">
        <v>4.68</v>
      </c>
      <c r="BS65" s="9"/>
    </row>
    <row r="66" spans="1:71" x14ac:dyDescent="0.2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3">
        <v>15348.2</v>
      </c>
      <c r="AN66" s="52">
        <v>39528.4395</v>
      </c>
      <c r="AO66" s="52">
        <v>32583.405740375325</v>
      </c>
      <c r="AP66" s="52">
        <v>21640.355778545851</v>
      </c>
      <c r="AQ66" s="52">
        <v>10943.049961829473</v>
      </c>
      <c r="AR66" s="52">
        <v>6925.9257263548034</v>
      </c>
      <c r="AS66" s="52">
        <v>19.108033269869182</v>
      </c>
      <c r="AT66" s="52">
        <v>2861.7</v>
      </c>
      <c r="AU66" s="52">
        <v>8195.6</v>
      </c>
      <c r="AV66" s="52">
        <v>400</v>
      </c>
      <c r="AW66" s="52">
        <v>7605.3</v>
      </c>
      <c r="AX66" s="52">
        <v>22.9</v>
      </c>
      <c r="AY66" s="53">
        <v>58705.739500000003</v>
      </c>
      <c r="AZ66" s="52">
        <v>6943.4</v>
      </c>
      <c r="BA66" s="52">
        <v>4609.8</v>
      </c>
      <c r="BB66" s="52">
        <v>5680.4</v>
      </c>
      <c r="BC66" s="52">
        <v>2668.5</v>
      </c>
      <c r="BD66" s="52">
        <v>338.9</v>
      </c>
      <c r="BE66" s="52">
        <v>14413.2</v>
      </c>
      <c r="BF66" s="52">
        <v>8700.5</v>
      </c>
      <c r="BG66" s="52">
        <v>766.5</v>
      </c>
      <c r="BH66" s="52">
        <v>4126.1000000000004</v>
      </c>
      <c r="BI66" s="52">
        <v>229.9</v>
      </c>
      <c r="BJ66" s="53">
        <v>98470.939499999993</v>
      </c>
      <c r="BL66" s="15">
        <v>3.36</v>
      </c>
      <c r="BM66" s="12"/>
      <c r="BN66" s="15">
        <v>4.2</v>
      </c>
      <c r="BO66" s="12"/>
      <c r="BP66" s="15">
        <v>5.28</v>
      </c>
      <c r="BQ66" s="12"/>
      <c r="BR66" s="15">
        <v>6.48</v>
      </c>
      <c r="BS66" s="9"/>
    </row>
    <row r="67" spans="1:71" x14ac:dyDescent="0.2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3">
        <v>16105.4</v>
      </c>
      <c r="AN67" s="52">
        <v>40025.064500000008</v>
      </c>
      <c r="AO67" s="52">
        <v>33022.757992273531</v>
      </c>
      <c r="AP67" s="52">
        <v>22196.756640132335</v>
      </c>
      <c r="AQ67" s="52">
        <v>10826.001352141197</v>
      </c>
      <c r="AR67" s="52">
        <v>6982.283919483928</v>
      </c>
      <c r="AS67" s="52">
        <v>20.022588242546348</v>
      </c>
      <c r="AT67" s="52">
        <v>2840.7</v>
      </c>
      <c r="AU67" s="52">
        <v>8249.4</v>
      </c>
      <c r="AV67" s="52">
        <v>405</v>
      </c>
      <c r="AW67" s="52">
        <v>7601.9</v>
      </c>
      <c r="AX67" s="52">
        <v>23.3</v>
      </c>
      <c r="AY67" s="53">
        <v>60000.364500000003</v>
      </c>
      <c r="AZ67" s="52">
        <v>6927.6</v>
      </c>
      <c r="BA67" s="52">
        <v>4369</v>
      </c>
      <c r="BB67" s="52">
        <v>6063.7</v>
      </c>
      <c r="BC67" s="52">
        <v>2574.1</v>
      </c>
      <c r="BD67" s="52">
        <v>325.39999999999998</v>
      </c>
      <c r="BE67" s="52">
        <v>14487.8</v>
      </c>
      <c r="BF67" s="52">
        <v>8651.9</v>
      </c>
      <c r="BG67" s="52">
        <v>773.1</v>
      </c>
      <c r="BH67" s="52">
        <v>3735.7</v>
      </c>
      <c r="BI67" s="52">
        <v>239</v>
      </c>
      <c r="BJ67" s="53">
        <v>100198.2645</v>
      </c>
      <c r="BL67" s="15">
        <v>3.72</v>
      </c>
      <c r="BM67" s="12"/>
      <c r="BN67" s="15">
        <v>4.5599999999999996</v>
      </c>
      <c r="BO67" s="12"/>
      <c r="BP67" s="15">
        <v>5.52</v>
      </c>
      <c r="BQ67" s="12"/>
      <c r="BR67" s="15">
        <v>6.6</v>
      </c>
      <c r="BS67" s="9"/>
    </row>
    <row r="68" spans="1:71" x14ac:dyDescent="0.2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3">
        <v>16485.800000000003</v>
      </c>
      <c r="AN68" s="52">
        <v>40608.252999999997</v>
      </c>
      <c r="AO68" s="52">
        <v>33544.160908651844</v>
      </c>
      <c r="AP68" s="52">
        <v>22995.116092501699</v>
      </c>
      <c r="AQ68" s="52">
        <v>10549.044816150144</v>
      </c>
      <c r="AR68" s="52">
        <v>7044.1379528410625</v>
      </c>
      <c r="AS68" s="52">
        <v>19.954138507081165</v>
      </c>
      <c r="AT68" s="52">
        <v>2861.7</v>
      </c>
      <c r="AU68" s="52">
        <v>8329.6</v>
      </c>
      <c r="AV68" s="52">
        <v>417.4</v>
      </c>
      <c r="AW68" s="52">
        <v>7828.5</v>
      </c>
      <c r="AX68" s="52">
        <v>22.2</v>
      </c>
      <c r="AY68" s="53">
        <v>60852.052999999993</v>
      </c>
      <c r="AZ68" s="52">
        <v>7037.6</v>
      </c>
      <c r="BA68" s="52">
        <v>4404.8999999999996</v>
      </c>
      <c r="BB68" s="52">
        <v>6945.2</v>
      </c>
      <c r="BC68" s="52">
        <v>2333.5</v>
      </c>
      <c r="BD68" s="52">
        <v>307.3</v>
      </c>
      <c r="BE68" s="52">
        <v>14665.5</v>
      </c>
      <c r="BF68" s="52">
        <v>8534.2000000000007</v>
      </c>
      <c r="BG68" s="52">
        <v>776.7</v>
      </c>
      <c r="BH68" s="52">
        <v>3339.2</v>
      </c>
      <c r="BI68" s="52">
        <v>241.3</v>
      </c>
      <c r="BJ68" s="53">
        <v>102276.45299999998</v>
      </c>
      <c r="BL68" s="15">
        <v>3.72</v>
      </c>
      <c r="BM68" s="12"/>
      <c r="BN68" s="15">
        <v>4.4400000000000004</v>
      </c>
      <c r="BO68" s="12"/>
      <c r="BP68" s="15">
        <v>5.64</v>
      </c>
      <c r="BQ68" s="12"/>
      <c r="BR68" s="15">
        <v>4.5599999999999996</v>
      </c>
      <c r="BS68" s="9"/>
    </row>
    <row r="69" spans="1:71" x14ac:dyDescent="0.2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3">
        <v>16097.899999999998</v>
      </c>
      <c r="AN69" s="52">
        <v>41002.036500000002</v>
      </c>
      <c r="AO69" s="52">
        <v>33925.233560847431</v>
      </c>
      <c r="AP69" s="52">
        <v>23602.853386643808</v>
      </c>
      <c r="AQ69" s="52">
        <v>10322.380174203625</v>
      </c>
      <c r="AR69" s="52">
        <v>7056.6082877331883</v>
      </c>
      <c r="AS69" s="52">
        <v>20.194651419380605</v>
      </c>
      <c r="AT69" s="52">
        <v>2841.1</v>
      </c>
      <c r="AU69" s="52">
        <v>7469.7</v>
      </c>
      <c r="AV69" s="52">
        <v>427</v>
      </c>
      <c r="AW69" s="52">
        <v>7173.2</v>
      </c>
      <c r="AX69" s="52">
        <v>23.4</v>
      </c>
      <c r="AY69" s="53">
        <v>60641.136499999993</v>
      </c>
      <c r="AZ69" s="52">
        <v>6993.2</v>
      </c>
      <c r="BA69" s="52">
        <v>5082</v>
      </c>
      <c r="BB69" s="52">
        <v>7171.5</v>
      </c>
      <c r="BC69" s="52">
        <v>2329</v>
      </c>
      <c r="BD69" s="52">
        <v>306.7</v>
      </c>
      <c r="BE69" s="52">
        <v>14864.9</v>
      </c>
      <c r="BF69" s="52">
        <v>8344.2000000000007</v>
      </c>
      <c r="BG69" s="52">
        <v>774.5</v>
      </c>
      <c r="BH69" s="52">
        <v>3128.1</v>
      </c>
      <c r="BI69" s="52">
        <v>243.7</v>
      </c>
      <c r="BJ69" s="53">
        <v>103135.33649999999</v>
      </c>
      <c r="BL69" s="15">
        <v>3.84</v>
      </c>
      <c r="BM69" s="12"/>
      <c r="BN69" s="15">
        <v>4.8</v>
      </c>
      <c r="BO69" s="12"/>
      <c r="BP69" s="15">
        <v>5.4</v>
      </c>
      <c r="BQ69" s="12"/>
      <c r="BR69" s="15">
        <v>4.5599999999999996</v>
      </c>
      <c r="BS69" s="9"/>
    </row>
    <row r="70" spans="1:71" x14ac:dyDescent="0.2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3">
        <v>16026.5</v>
      </c>
      <c r="AN70" s="52">
        <v>41572.324000000001</v>
      </c>
      <c r="AO70" s="52">
        <v>34357.345791582462</v>
      </c>
      <c r="AP70" s="52">
        <v>23929.051606769706</v>
      </c>
      <c r="AQ70" s="52">
        <v>10428.294184812752</v>
      </c>
      <c r="AR70" s="52">
        <v>7194.7542387586209</v>
      </c>
      <c r="AS70" s="52">
        <v>20.223969658924055</v>
      </c>
      <c r="AT70" s="52">
        <v>2827.7</v>
      </c>
      <c r="AU70" s="52">
        <v>7470.1</v>
      </c>
      <c r="AV70" s="52">
        <v>441.8</v>
      </c>
      <c r="AW70" s="52">
        <v>7029</v>
      </c>
      <c r="AX70" s="52">
        <v>23.3</v>
      </c>
      <c r="AY70" s="53">
        <v>61286.123999999996</v>
      </c>
      <c r="AZ70" s="52">
        <v>6759.6</v>
      </c>
      <c r="BA70" s="52">
        <v>5282.3</v>
      </c>
      <c r="BB70" s="52">
        <v>7513.8</v>
      </c>
      <c r="BC70" s="52">
        <v>2501.8000000000002</v>
      </c>
      <c r="BD70" s="52">
        <v>306.5</v>
      </c>
      <c r="BE70" s="52">
        <v>14920.9</v>
      </c>
      <c r="BF70" s="52">
        <v>8378.6</v>
      </c>
      <c r="BG70" s="52">
        <v>521.9</v>
      </c>
      <c r="BH70" s="52">
        <v>3397.7</v>
      </c>
      <c r="BI70" s="52">
        <v>250.4</v>
      </c>
      <c r="BJ70" s="53">
        <v>103823.424</v>
      </c>
      <c r="BL70" s="15">
        <v>4.2</v>
      </c>
      <c r="BM70" s="12"/>
      <c r="BN70" s="15">
        <v>5.16</v>
      </c>
      <c r="BO70" s="12"/>
      <c r="BP70" s="15">
        <v>6.72</v>
      </c>
      <c r="BQ70" s="12"/>
      <c r="BR70" s="15">
        <v>4.68</v>
      </c>
      <c r="BS70" s="9"/>
    </row>
    <row r="71" spans="1:71" x14ac:dyDescent="0.2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3">
        <v>16301.499999999998</v>
      </c>
      <c r="AN71" s="52">
        <v>42519.936000000002</v>
      </c>
      <c r="AO71" s="52">
        <v>35110.548400091902</v>
      </c>
      <c r="AP71" s="52">
        <v>24594.767023369415</v>
      </c>
      <c r="AQ71" s="52">
        <v>10515.781376722483</v>
      </c>
      <c r="AR71" s="52">
        <v>7389.2517111009111</v>
      </c>
      <c r="AS71" s="52">
        <v>20.135888807188234</v>
      </c>
      <c r="AT71" s="52">
        <v>2869</v>
      </c>
      <c r="AU71" s="52">
        <v>8298.4</v>
      </c>
      <c r="AV71" s="52">
        <v>473.1</v>
      </c>
      <c r="AW71" s="52">
        <v>7876.4</v>
      </c>
      <c r="AX71" s="52">
        <v>20.3</v>
      </c>
      <c r="AY71" s="53">
        <v>62565.236000000004</v>
      </c>
      <c r="AZ71" s="52">
        <v>6689.8</v>
      </c>
      <c r="BA71" s="52">
        <v>5349.9</v>
      </c>
      <c r="BB71" s="52">
        <v>7688.1</v>
      </c>
      <c r="BC71" s="52">
        <v>2367.1</v>
      </c>
      <c r="BD71" s="52">
        <v>287.5</v>
      </c>
      <c r="BE71" s="52">
        <v>14987.4</v>
      </c>
      <c r="BF71" s="52">
        <v>8608.7999999999993</v>
      </c>
      <c r="BG71" s="52">
        <v>801.3</v>
      </c>
      <c r="BH71" s="52">
        <v>3825.1</v>
      </c>
      <c r="BI71" s="52">
        <v>258.7</v>
      </c>
      <c r="BJ71" s="53">
        <v>105261.33600000001</v>
      </c>
      <c r="BL71" s="15">
        <v>4.68</v>
      </c>
      <c r="BM71" s="12"/>
      <c r="BN71" s="15">
        <v>5.52</v>
      </c>
      <c r="BO71" s="12"/>
      <c r="BP71" s="15">
        <v>6.36</v>
      </c>
      <c r="BQ71" s="12"/>
      <c r="BR71" s="15">
        <v>5.4</v>
      </c>
      <c r="BS71" s="9"/>
    </row>
    <row r="72" spans="1:71" x14ac:dyDescent="0.2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3">
        <v>16579.599999999999</v>
      </c>
      <c r="AN72" s="52">
        <v>43652.352500000008</v>
      </c>
      <c r="AO72" s="52">
        <v>35941.432730947367</v>
      </c>
      <c r="AP72" s="52">
        <v>25039.598275272176</v>
      </c>
      <c r="AQ72" s="52">
        <v>10901.834455675193</v>
      </c>
      <c r="AR72" s="52">
        <v>7690.814114371813</v>
      </c>
      <c r="AS72" s="52">
        <v>20.105654680822429</v>
      </c>
      <c r="AT72" s="52">
        <v>2878.3</v>
      </c>
      <c r="AU72" s="52">
        <v>8297.7000000000007</v>
      </c>
      <c r="AV72" s="52">
        <v>490.6</v>
      </c>
      <c r="AW72" s="52">
        <v>7890.4</v>
      </c>
      <c r="AX72" s="52">
        <v>22.6</v>
      </c>
      <c r="AY72" s="53">
        <v>63985.552500000013</v>
      </c>
      <c r="AZ72" s="52">
        <v>6778.7</v>
      </c>
      <c r="BA72" s="52">
        <v>5639.5</v>
      </c>
      <c r="BB72" s="52">
        <v>7823.7</v>
      </c>
      <c r="BC72" s="52">
        <v>2166.5</v>
      </c>
      <c r="BD72" s="52">
        <v>268.10000000000002</v>
      </c>
      <c r="BE72" s="52">
        <v>15081.7</v>
      </c>
      <c r="BF72" s="52">
        <v>8691.2999999999993</v>
      </c>
      <c r="BG72" s="52">
        <v>811.3</v>
      </c>
      <c r="BH72" s="52">
        <v>3977.4</v>
      </c>
      <c r="BI72" s="52">
        <v>263.5</v>
      </c>
      <c r="BJ72" s="53">
        <v>107005.45250000001</v>
      </c>
      <c r="BL72" s="15">
        <v>5.4</v>
      </c>
      <c r="BM72" s="12"/>
      <c r="BN72" s="15">
        <v>6</v>
      </c>
      <c r="BO72" s="12"/>
      <c r="BP72" s="15">
        <v>6.48</v>
      </c>
      <c r="BQ72" s="12"/>
      <c r="BR72" s="15">
        <v>4.8</v>
      </c>
      <c r="BS72" s="9"/>
    </row>
    <row r="73" spans="1:71" x14ac:dyDescent="0.2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3">
        <v>16707</v>
      </c>
      <c r="AN73" s="52">
        <v>44557.904000000002</v>
      </c>
      <c r="AO73" s="52">
        <v>36558.932066395959</v>
      </c>
      <c r="AP73" s="52">
        <v>25118.100613250368</v>
      </c>
      <c r="AQ73" s="52">
        <v>11440.831453145594</v>
      </c>
      <c r="AR73" s="52">
        <v>7978.8704540299223</v>
      </c>
      <c r="AS73" s="52">
        <v>20.10147957412066</v>
      </c>
      <c r="AT73" s="52">
        <v>2918.6</v>
      </c>
      <c r="AU73" s="52">
        <v>7394.5</v>
      </c>
      <c r="AV73" s="52">
        <v>495.5</v>
      </c>
      <c r="AW73" s="52">
        <v>6916.6</v>
      </c>
      <c r="AX73" s="52">
        <v>24.5</v>
      </c>
      <c r="AY73" s="53">
        <v>65132.404000000002</v>
      </c>
      <c r="AZ73" s="52">
        <v>6771.4</v>
      </c>
      <c r="BA73" s="52">
        <v>5987.1</v>
      </c>
      <c r="BB73" s="52">
        <v>7918.3</v>
      </c>
      <c r="BC73" s="52">
        <v>2094.6999999999998</v>
      </c>
      <c r="BD73" s="52">
        <v>291.5</v>
      </c>
      <c r="BE73" s="52">
        <v>15310.3</v>
      </c>
      <c r="BF73" s="52">
        <v>8611.6</v>
      </c>
      <c r="BG73" s="52">
        <v>809.6</v>
      </c>
      <c r="BH73" s="52">
        <v>3903.5</v>
      </c>
      <c r="BI73" s="52">
        <v>266.5</v>
      </c>
      <c r="BJ73" s="53">
        <v>108756.90400000002</v>
      </c>
      <c r="BL73" s="15">
        <v>5.64</v>
      </c>
      <c r="BM73" s="12"/>
      <c r="BN73" s="15">
        <v>6</v>
      </c>
      <c r="BO73" s="12"/>
      <c r="BP73" s="15">
        <v>5.76</v>
      </c>
      <c r="BQ73" s="12"/>
      <c r="BR73" s="15">
        <v>4.08</v>
      </c>
      <c r="BS73" s="9"/>
    </row>
    <row r="74" spans="1:71" x14ac:dyDescent="0.2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3">
        <v>16298.7</v>
      </c>
      <c r="AN74" s="52">
        <v>45479.787499999999</v>
      </c>
      <c r="AO74" s="52">
        <v>37314.116349454373</v>
      </c>
      <c r="AP74" s="52">
        <v>25456.080262561816</v>
      </c>
      <c r="AQ74" s="52">
        <v>11858.036086892556</v>
      </c>
      <c r="AR74" s="52">
        <v>8145.1787165842743</v>
      </c>
      <c r="AS74" s="52">
        <v>20.492433961346872</v>
      </c>
      <c r="AT74" s="52">
        <v>2933.6</v>
      </c>
      <c r="AU74" s="52">
        <v>7167.1</v>
      </c>
      <c r="AV74" s="52">
        <v>495.3</v>
      </c>
      <c r="AW74" s="52">
        <v>6714.7</v>
      </c>
      <c r="AX74" s="52">
        <v>24.5</v>
      </c>
      <c r="AY74" s="53">
        <v>65635.287500000006</v>
      </c>
      <c r="AZ74" s="52">
        <v>6721.3</v>
      </c>
      <c r="BA74" s="52">
        <v>6584.2</v>
      </c>
      <c r="BB74" s="52">
        <v>8194.4</v>
      </c>
      <c r="BC74" s="52">
        <v>2143.8000000000002</v>
      </c>
      <c r="BD74" s="52">
        <v>309.3</v>
      </c>
      <c r="BE74" s="52">
        <v>15470</v>
      </c>
      <c r="BF74" s="52">
        <v>8258.5</v>
      </c>
      <c r="BG74" s="52">
        <v>797.9</v>
      </c>
      <c r="BH74" s="52">
        <v>3848.4</v>
      </c>
      <c r="BI74" s="52">
        <v>277.8</v>
      </c>
      <c r="BJ74" s="53">
        <v>109988.48750000002</v>
      </c>
      <c r="BL74" s="15">
        <v>5.76</v>
      </c>
      <c r="BM74" s="12"/>
      <c r="BN74" s="15">
        <v>6.12</v>
      </c>
      <c r="BO74" s="12"/>
      <c r="BP74" s="15">
        <v>6.6</v>
      </c>
      <c r="BQ74" s="12"/>
      <c r="BR74" s="15"/>
      <c r="BS74" s="9"/>
    </row>
    <row r="75" spans="1:71" x14ac:dyDescent="0.2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3">
        <v>16532</v>
      </c>
      <c r="AN75" s="52">
        <v>47082.287499999999</v>
      </c>
      <c r="AO75" s="52">
        <v>38868.624170089533</v>
      </c>
      <c r="AP75" s="52">
        <v>26695.123729430979</v>
      </c>
      <c r="AQ75" s="52">
        <v>12173.500440658558</v>
      </c>
      <c r="AR75" s="52">
        <v>8193.3891766862889</v>
      </c>
      <c r="AS75" s="52">
        <v>20.274153224179138</v>
      </c>
      <c r="AT75" s="52">
        <v>2935.5</v>
      </c>
      <c r="AU75" s="52">
        <v>7212</v>
      </c>
      <c r="AV75" s="52">
        <v>492.2</v>
      </c>
      <c r="AW75" s="52">
        <v>7003.4</v>
      </c>
      <c r="AX75" s="52">
        <v>25.8</v>
      </c>
      <c r="AY75" s="53">
        <v>67224.787500000006</v>
      </c>
      <c r="AZ75" s="52">
        <v>6753.7</v>
      </c>
      <c r="BA75" s="52">
        <v>6997.6</v>
      </c>
      <c r="BB75" s="52">
        <v>8654.4</v>
      </c>
      <c r="BC75" s="52">
        <v>2182.8000000000002</v>
      </c>
      <c r="BD75" s="52">
        <v>301.60000000000002</v>
      </c>
      <c r="BE75" s="52">
        <v>15484.9</v>
      </c>
      <c r="BF75" s="52">
        <v>7832</v>
      </c>
      <c r="BG75" s="52">
        <v>772.6</v>
      </c>
      <c r="BH75" s="52">
        <v>3849.3</v>
      </c>
      <c r="BI75" s="52">
        <v>297.5</v>
      </c>
      <c r="BJ75" s="53">
        <v>112057.58750000001</v>
      </c>
      <c r="BL75" s="15">
        <v>5.64</v>
      </c>
      <c r="BM75" s="12"/>
      <c r="BN75" s="15">
        <v>5.88</v>
      </c>
      <c r="BO75" s="12"/>
      <c r="BP75" s="15">
        <v>6.24</v>
      </c>
      <c r="BQ75" s="12"/>
      <c r="BR75" s="15">
        <v>5.16</v>
      </c>
      <c r="BS75" s="9"/>
    </row>
    <row r="76" spans="1:71" x14ac:dyDescent="0.2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3">
        <v>16812</v>
      </c>
      <c r="AN76" s="52">
        <v>48399.377999999997</v>
      </c>
      <c r="AO76" s="52">
        <v>40086.158639922774</v>
      </c>
      <c r="AP76" s="52">
        <v>27760.694581773561</v>
      </c>
      <c r="AQ76" s="52">
        <v>12325.464058149209</v>
      </c>
      <c r="AR76" s="52">
        <v>8293.397357299802</v>
      </c>
      <c r="AS76" s="52">
        <v>19.82200277741919</v>
      </c>
      <c r="AT76" s="52">
        <v>2964</v>
      </c>
      <c r="AU76" s="52">
        <v>8283</v>
      </c>
      <c r="AV76" s="52">
        <v>497</v>
      </c>
      <c r="AW76" s="52">
        <v>8111</v>
      </c>
      <c r="AX76" s="52">
        <v>28</v>
      </c>
      <c r="AY76" s="53">
        <v>68816.377999999997</v>
      </c>
      <c r="AZ76" s="52">
        <v>7003</v>
      </c>
      <c r="BA76" s="52">
        <v>7895</v>
      </c>
      <c r="BB76" s="52">
        <v>9054</v>
      </c>
      <c r="BC76" s="52">
        <v>2287</v>
      </c>
      <c r="BD76" s="52">
        <v>310</v>
      </c>
      <c r="BE76" s="52">
        <v>15541</v>
      </c>
      <c r="BF76" s="52">
        <v>7565</v>
      </c>
      <c r="BG76" s="52">
        <v>744</v>
      </c>
      <c r="BH76" s="52">
        <v>4006</v>
      </c>
      <c r="BI76" s="52">
        <v>313</v>
      </c>
      <c r="BJ76" s="53">
        <v>114896.378</v>
      </c>
      <c r="BL76" s="15">
        <v>5.52</v>
      </c>
      <c r="BM76" s="12"/>
      <c r="BN76" s="15">
        <v>5.64</v>
      </c>
      <c r="BO76" s="12"/>
      <c r="BP76" s="15">
        <v>5.76</v>
      </c>
      <c r="BQ76" s="12"/>
      <c r="BR76" s="15">
        <v>7.2</v>
      </c>
      <c r="BS76" s="9"/>
    </row>
    <row r="77" spans="1:71" x14ac:dyDescent="0.2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3">
        <v>16918.099999999999</v>
      </c>
      <c r="AN77" s="52">
        <v>49404.421499999997</v>
      </c>
      <c r="AO77" s="52">
        <v>40856.548026192599</v>
      </c>
      <c r="AP77" s="52">
        <v>28319.321994792925</v>
      </c>
      <c r="AQ77" s="52">
        <v>12537.226031399676</v>
      </c>
      <c r="AR77" s="52">
        <v>8527.6857293610992</v>
      </c>
      <c r="AS77" s="52">
        <v>20.187744446297881</v>
      </c>
      <c r="AT77" s="52">
        <v>2979.3</v>
      </c>
      <c r="AU77" s="52">
        <v>9587.2000000000007</v>
      </c>
      <c r="AV77" s="52">
        <v>498.9</v>
      </c>
      <c r="AW77" s="52">
        <v>9319.2999999999993</v>
      </c>
      <c r="AX77" s="52">
        <v>28.9</v>
      </c>
      <c r="AY77" s="53">
        <v>70039.721500000014</v>
      </c>
      <c r="AZ77" s="52">
        <v>7200.1</v>
      </c>
      <c r="BA77" s="52">
        <v>8930.2000000000007</v>
      </c>
      <c r="BB77" s="52">
        <v>9495.6</v>
      </c>
      <c r="BC77" s="52">
        <v>2069.4</v>
      </c>
      <c r="BD77" s="52">
        <v>305.8</v>
      </c>
      <c r="BE77" s="52">
        <v>15692</v>
      </c>
      <c r="BF77" s="52">
        <v>7494.7</v>
      </c>
      <c r="BG77" s="52">
        <v>738.2</v>
      </c>
      <c r="BH77" s="52">
        <v>4041</v>
      </c>
      <c r="BI77" s="52">
        <v>313.7</v>
      </c>
      <c r="BJ77" s="53">
        <v>117611.02150000002</v>
      </c>
      <c r="BL77" s="15">
        <v>5.52</v>
      </c>
      <c r="BM77" s="12"/>
      <c r="BN77" s="15">
        <v>5.76</v>
      </c>
      <c r="BO77" s="12"/>
      <c r="BP77" s="15">
        <v>5.76</v>
      </c>
      <c r="BQ77" s="12"/>
      <c r="BR77" s="15">
        <v>7.2</v>
      </c>
      <c r="BS77" s="9"/>
    </row>
    <row r="78" spans="1:71" x14ac:dyDescent="0.2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3">
        <v>16806.400000000001</v>
      </c>
      <c r="AN78" s="52">
        <v>50432.493499999997</v>
      </c>
      <c r="AO78" s="52">
        <v>41774.110957051395</v>
      </c>
      <c r="AP78" s="52">
        <v>28697.370772230737</v>
      </c>
      <c r="AQ78" s="52">
        <v>13076.740184820655</v>
      </c>
      <c r="AR78" s="52">
        <v>8637.6322788315229</v>
      </c>
      <c r="AS78" s="52">
        <v>20.750264117081791</v>
      </c>
      <c r="AT78" s="52">
        <v>2990.1</v>
      </c>
      <c r="AU78" s="52">
        <v>9160.2999999999993</v>
      </c>
      <c r="AV78" s="52">
        <v>497.2</v>
      </c>
      <c r="AW78" s="52">
        <v>8943.5</v>
      </c>
      <c r="AX78" s="52">
        <v>26.9</v>
      </c>
      <c r="AY78" s="53">
        <v>70916.093500000017</v>
      </c>
      <c r="AZ78" s="52">
        <v>7154.2</v>
      </c>
      <c r="BA78" s="52">
        <v>9203.2999999999993</v>
      </c>
      <c r="BB78" s="52">
        <v>9532.5</v>
      </c>
      <c r="BC78" s="52">
        <v>2115.1999999999998</v>
      </c>
      <c r="BD78" s="52">
        <v>288.5</v>
      </c>
      <c r="BE78" s="52">
        <v>15880.1</v>
      </c>
      <c r="BF78" s="52">
        <v>7413.4</v>
      </c>
      <c r="BG78" s="52">
        <v>734.9</v>
      </c>
      <c r="BH78" s="52">
        <v>3852.4</v>
      </c>
      <c r="BI78" s="52">
        <v>308.3</v>
      </c>
      <c r="BJ78" s="53">
        <v>119077.49350000003</v>
      </c>
      <c r="BL78" s="15">
        <v>5.76</v>
      </c>
      <c r="BM78" s="12"/>
      <c r="BN78" s="15">
        <v>5.88</v>
      </c>
      <c r="BO78" s="12"/>
      <c r="BP78" s="15">
        <v>6</v>
      </c>
      <c r="BQ78" s="12"/>
      <c r="BR78" s="15"/>
      <c r="BS78" s="9"/>
    </row>
    <row r="79" spans="1:71" x14ac:dyDescent="0.2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3">
        <v>18009.099999999999</v>
      </c>
      <c r="AN79" s="52">
        <v>51368.130499999999</v>
      </c>
      <c r="AO79" s="52">
        <v>42658.932399232202</v>
      </c>
      <c r="AP79" s="52">
        <v>28709.12008635094</v>
      </c>
      <c r="AQ79" s="52">
        <v>13949.812312881262</v>
      </c>
      <c r="AR79" s="52">
        <v>8687.6287810025533</v>
      </c>
      <c r="AS79" s="52">
        <v>21.569319765241588</v>
      </c>
      <c r="AT79" s="52">
        <v>2984.7</v>
      </c>
      <c r="AU79" s="52">
        <v>9215.7000000000007</v>
      </c>
      <c r="AV79" s="52">
        <v>500.5</v>
      </c>
      <c r="AW79" s="52">
        <v>8903.9</v>
      </c>
      <c r="AX79" s="52">
        <v>32.5</v>
      </c>
      <c r="AY79" s="53">
        <v>73141.730500000005</v>
      </c>
      <c r="AZ79" s="52">
        <v>7085.4</v>
      </c>
      <c r="BA79" s="52">
        <v>8929.2999999999993</v>
      </c>
      <c r="BB79" s="52">
        <v>9719.2000000000007</v>
      </c>
      <c r="BC79" s="52">
        <v>2093.8000000000002</v>
      </c>
      <c r="BD79" s="52">
        <v>275.89999999999998</v>
      </c>
      <c r="BE79" s="52">
        <v>16073.8</v>
      </c>
      <c r="BF79" s="52">
        <v>7228.7</v>
      </c>
      <c r="BG79" s="52">
        <v>724.2</v>
      </c>
      <c r="BH79" s="52">
        <v>3769</v>
      </c>
      <c r="BI79" s="52">
        <v>307.10000000000002</v>
      </c>
      <c r="BJ79" s="53">
        <v>121195.9305</v>
      </c>
      <c r="BL79" s="15">
        <v>6.24</v>
      </c>
      <c r="BM79" s="12"/>
      <c r="BN79" s="15">
        <v>6.12</v>
      </c>
      <c r="BO79" s="12"/>
      <c r="BP79" s="15">
        <v>6.36</v>
      </c>
      <c r="BQ79" s="12"/>
      <c r="BR79" s="15">
        <v>7.2</v>
      </c>
      <c r="BS79" s="9"/>
    </row>
    <row r="80" spans="1:71" x14ac:dyDescent="0.2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3">
        <v>18188.312999999998</v>
      </c>
      <c r="AN80" s="52">
        <v>51741.172999999995</v>
      </c>
      <c r="AO80" s="52">
        <v>42899.863431591941</v>
      </c>
      <c r="AP80" s="52">
        <v>28570.200782192282</v>
      </c>
      <c r="AQ80" s="52">
        <v>14329.662649399661</v>
      </c>
      <c r="AR80" s="52">
        <v>8818.8576424726125</v>
      </c>
      <c r="AS80" s="52">
        <v>22.451925935455499</v>
      </c>
      <c r="AT80" s="52">
        <v>2999.076</v>
      </c>
      <c r="AU80" s="52">
        <v>9465.5681661452709</v>
      </c>
      <c r="AV80" s="52">
        <v>504.885653123</v>
      </c>
      <c r="AW80" s="52">
        <v>9013.6872658876891</v>
      </c>
      <c r="AX80" s="52">
        <v>31.252666415499998</v>
      </c>
      <c r="AY80" s="53">
        <v>73854.075886965074</v>
      </c>
      <c r="AZ80" s="52">
        <v>7411.18</v>
      </c>
      <c r="BA80" s="52">
        <v>9154.34</v>
      </c>
      <c r="BB80" s="52">
        <v>9900.3140000000003</v>
      </c>
      <c r="BC80" s="52">
        <v>2343.864</v>
      </c>
      <c r="BD80" s="52">
        <v>274.5804445</v>
      </c>
      <c r="BE80" s="52">
        <v>16247.262397451999</v>
      </c>
      <c r="BF80" s="52">
        <v>7250.2456898356404</v>
      </c>
      <c r="BG80" s="52">
        <v>726.99683949999996</v>
      </c>
      <c r="BH80" s="52">
        <v>3788.6331705463599</v>
      </c>
      <c r="BI80" s="52">
        <v>306.53930015643402</v>
      </c>
      <c r="BJ80" s="53">
        <v>123067.68678754992</v>
      </c>
      <c r="BL80" s="15">
        <v>5.52</v>
      </c>
      <c r="BM80" s="12"/>
      <c r="BN80" s="15">
        <v>5.52</v>
      </c>
      <c r="BO80" s="12"/>
      <c r="BP80" s="15">
        <v>6</v>
      </c>
      <c r="BQ80" s="12"/>
      <c r="BR80" s="15">
        <v>7.2</v>
      </c>
      <c r="BS80" s="9"/>
    </row>
    <row r="81" spans="1:71" x14ac:dyDescent="0.2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3">
        <v>17736.091</v>
      </c>
      <c r="AN81" s="52">
        <v>51951.418000000005</v>
      </c>
      <c r="AO81" s="52">
        <v>42859.049941970618</v>
      </c>
      <c r="AP81" s="52">
        <v>28578.346839319303</v>
      </c>
      <c r="AQ81" s="52">
        <v>14280.703102651312</v>
      </c>
      <c r="AR81" s="52">
        <v>9069.630524216589</v>
      </c>
      <c r="AS81" s="52">
        <v>22.737533812790424</v>
      </c>
      <c r="AT81" s="52">
        <v>3013.2620000000002</v>
      </c>
      <c r="AU81" s="52">
        <v>8673.4887470531103</v>
      </c>
      <c r="AV81" s="52">
        <v>508.55597749399999</v>
      </c>
      <c r="AW81" s="52">
        <v>8474.0640809899505</v>
      </c>
      <c r="AX81" s="52">
        <v>25.026422347499999</v>
      </c>
      <c r="AY81" s="53">
        <v>73383.725221209665</v>
      </c>
      <c r="AZ81" s="52">
        <v>7310.31</v>
      </c>
      <c r="BA81" s="52">
        <v>9648.5010000000002</v>
      </c>
      <c r="BB81" s="52">
        <v>9776.4719999999998</v>
      </c>
      <c r="BC81" s="52">
        <v>2434.1770000000001</v>
      </c>
      <c r="BD81" s="52">
        <v>292.44369949999998</v>
      </c>
      <c r="BE81" s="52">
        <v>16327.445810452</v>
      </c>
      <c r="BF81" s="52">
        <v>7455.65388791036</v>
      </c>
      <c r="BG81" s="52">
        <v>737.82027149999999</v>
      </c>
      <c r="BH81" s="52">
        <v>3820.7386863022698</v>
      </c>
      <c r="BI81" s="52">
        <v>307.74480682942902</v>
      </c>
      <c r="BJ81" s="53">
        <v>123238.06539744032</v>
      </c>
      <c r="BL81" s="15">
        <v>5.28</v>
      </c>
      <c r="BM81" s="12"/>
      <c r="BN81" s="15">
        <v>5.52</v>
      </c>
      <c r="BO81" s="12"/>
      <c r="BP81" s="15">
        <v>6</v>
      </c>
      <c r="BQ81" s="12"/>
      <c r="BR81" s="15"/>
      <c r="BS81" s="9"/>
    </row>
    <row r="82" spans="1:71" x14ac:dyDescent="0.2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3">
        <v>17863.384000000002</v>
      </c>
      <c r="AN82" s="52">
        <v>52688.383499999996</v>
      </c>
      <c r="AO82" s="52">
        <v>43343.626633813874</v>
      </c>
      <c r="AP82" s="52">
        <v>28739.21597785296</v>
      </c>
      <c r="AQ82" s="52">
        <v>14604.410655960915</v>
      </c>
      <c r="AR82" s="52">
        <v>9321.2840167088452</v>
      </c>
      <c r="AS82" s="52">
        <v>23.472849477278217</v>
      </c>
      <c r="AT82" s="52">
        <v>3033.127</v>
      </c>
      <c r="AU82" s="52">
        <v>8949.5939726874803</v>
      </c>
      <c r="AV82" s="52">
        <v>512.63237012000002</v>
      </c>
      <c r="AW82" s="52">
        <v>8924.8213787204895</v>
      </c>
      <c r="AX82" s="52">
        <v>27.112216451999998</v>
      </c>
      <c r="AY82" s="53">
        <v>74095.187247634982</v>
      </c>
      <c r="AZ82" s="52">
        <v>7483.0155000000004</v>
      </c>
      <c r="BA82" s="52">
        <v>9818.9</v>
      </c>
      <c r="BB82" s="52">
        <v>9856.8510000000006</v>
      </c>
      <c r="BC82" s="52">
        <v>2226.5700000000002</v>
      </c>
      <c r="BD82" s="52">
        <v>284.5983425</v>
      </c>
      <c r="BE82" s="52">
        <v>16388.6115735575</v>
      </c>
      <c r="BF82" s="52">
        <v>7646.1732017132399</v>
      </c>
      <c r="BG82" s="52">
        <v>744.42435950000004</v>
      </c>
      <c r="BH82" s="52">
        <v>3827.3117985485501</v>
      </c>
      <c r="BI82" s="52">
        <v>304.37091992098402</v>
      </c>
      <c r="BJ82" s="53">
        <v>124412.64850643618</v>
      </c>
      <c r="BL82" s="15">
        <v>5.64</v>
      </c>
      <c r="BM82" s="12"/>
      <c r="BN82" s="15">
        <v>6</v>
      </c>
      <c r="BO82" s="12"/>
      <c r="BP82" s="15">
        <v>6.36</v>
      </c>
      <c r="BQ82" s="12"/>
      <c r="BR82" s="15">
        <v>5.4</v>
      </c>
      <c r="BS82" s="9"/>
    </row>
    <row r="83" spans="1:71" x14ac:dyDescent="0.2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3">
        <v>18269.812999999998</v>
      </c>
      <c r="AN83" s="52">
        <v>53970.497499999998</v>
      </c>
      <c r="AO83" s="52">
        <v>44370.793735266256</v>
      </c>
      <c r="AP83" s="52">
        <v>29307.247873654062</v>
      </c>
      <c r="AQ83" s="52">
        <v>15063.545861612198</v>
      </c>
      <c r="AR83" s="52">
        <v>9575.6548928178345</v>
      </c>
      <c r="AS83" s="52">
        <v>24.048871915899817</v>
      </c>
      <c r="AT83" s="52">
        <v>3062.04</v>
      </c>
      <c r="AU83" s="52">
        <v>9762.3532860445703</v>
      </c>
      <c r="AV83" s="52">
        <v>487.36843262449997</v>
      </c>
      <c r="AW83" s="52">
        <v>9732.6228628084791</v>
      </c>
      <c r="AX83" s="52">
        <v>27.698261096500001</v>
      </c>
      <c r="AY83" s="53">
        <v>75791.751094764084</v>
      </c>
      <c r="AZ83" s="52">
        <v>7598.71</v>
      </c>
      <c r="BA83" s="52">
        <v>9889.01</v>
      </c>
      <c r="BB83" s="52">
        <v>9909.42</v>
      </c>
      <c r="BC83" s="52">
        <v>2090.9870000000001</v>
      </c>
      <c r="BD83" s="52">
        <v>265.14160800000002</v>
      </c>
      <c r="BE83" s="52">
        <v>16544.291283057501</v>
      </c>
      <c r="BF83" s="52">
        <v>7667.6744359532904</v>
      </c>
      <c r="BG83" s="52">
        <v>742.74965799999995</v>
      </c>
      <c r="BH83" s="52">
        <v>3734.1880486488699</v>
      </c>
      <c r="BI83" s="52">
        <v>303.26818565910901</v>
      </c>
      <c r="BJ83" s="53">
        <v>126462.27884546691</v>
      </c>
      <c r="BL83" s="15">
        <v>5.76</v>
      </c>
      <c r="BM83" s="12"/>
      <c r="BN83" s="15">
        <v>6.12</v>
      </c>
      <c r="BO83" s="12"/>
      <c r="BP83" s="15">
        <v>6.6</v>
      </c>
      <c r="BQ83" s="12"/>
      <c r="BR83" s="15">
        <v>10.08</v>
      </c>
      <c r="BS83" s="9"/>
    </row>
    <row r="84" spans="1:71" x14ac:dyDescent="0.2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3">
        <v>18738.815999999999</v>
      </c>
      <c r="AN84" s="52">
        <v>55536.853499999997</v>
      </c>
      <c r="AO84" s="52">
        <v>45659.520172592354</v>
      </c>
      <c r="AP84" s="52">
        <v>30432.453628550622</v>
      </c>
      <c r="AQ84" s="52">
        <v>15227.066544041731</v>
      </c>
      <c r="AR84" s="52">
        <v>9854.7765688752243</v>
      </c>
      <c r="AS84" s="52">
        <v>22.556758532426439</v>
      </c>
      <c r="AT84" s="52">
        <v>3097.4270000000001</v>
      </c>
      <c r="AU84" s="52">
        <v>9235.7783668458906</v>
      </c>
      <c r="AV84" s="52">
        <v>504.27328783949997</v>
      </c>
      <c r="AW84" s="52">
        <v>9363.7801613047304</v>
      </c>
      <c r="AX84" s="52">
        <v>26.886657765500001</v>
      </c>
      <c r="AY84" s="53">
        <v>77722.481335615157</v>
      </c>
      <c r="AZ84" s="52">
        <v>7710.3419999999996</v>
      </c>
      <c r="BA84" s="52">
        <v>9929.83</v>
      </c>
      <c r="BB84" s="52">
        <v>9936.4699999999993</v>
      </c>
      <c r="BC84" s="52">
        <v>2022.7149999999999</v>
      </c>
      <c r="BD84" s="52">
        <v>262.15271100000001</v>
      </c>
      <c r="BE84" s="52">
        <v>16678.414507505498</v>
      </c>
      <c r="BF84" s="52">
        <v>7515.8174972689803</v>
      </c>
      <c r="BG84" s="52">
        <v>733.53759849999994</v>
      </c>
      <c r="BH84" s="52">
        <v>3705.1019619407298</v>
      </c>
      <c r="BI84" s="52">
        <v>309.90815521288999</v>
      </c>
      <c r="BJ84" s="53">
        <v>128496.75053273603</v>
      </c>
      <c r="BL84" s="15">
        <v>5.76</v>
      </c>
      <c r="BM84" s="12"/>
      <c r="BN84" s="15">
        <v>6</v>
      </c>
      <c r="BO84" s="12"/>
      <c r="BP84" s="15">
        <v>6.6</v>
      </c>
      <c r="BQ84" s="12"/>
      <c r="BR84" s="15">
        <v>6.6</v>
      </c>
      <c r="BS84" s="9"/>
    </row>
    <row r="85" spans="1:71" x14ac:dyDescent="0.2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3">
        <v>18430.396000000001</v>
      </c>
      <c r="AN85" s="52">
        <v>56885.2255</v>
      </c>
      <c r="AO85" s="52">
        <v>46784.94549405478</v>
      </c>
      <c r="AP85" s="52">
        <v>31593.198620853829</v>
      </c>
      <c r="AQ85" s="52">
        <v>15191.746873200955</v>
      </c>
      <c r="AR85" s="52">
        <v>10077.985209300989</v>
      </c>
      <c r="AS85" s="52">
        <v>22.294796644230694</v>
      </c>
      <c r="AT85" s="52">
        <v>3194.3960000000002</v>
      </c>
      <c r="AU85" s="52">
        <v>9427.9565815790393</v>
      </c>
      <c r="AV85" s="52">
        <v>556.35298850649997</v>
      </c>
      <c r="AW85" s="52">
        <v>9386.6516155454101</v>
      </c>
      <c r="AX85" s="52">
        <v>28.497669074000001</v>
      </c>
      <c r="AY85" s="53">
        <v>79079.177785466134</v>
      </c>
      <c r="AZ85" s="52">
        <v>7623.7359999999999</v>
      </c>
      <c r="BA85" s="52">
        <v>9811.4310000000005</v>
      </c>
      <c r="BB85" s="52">
        <v>9962.1299999999992</v>
      </c>
      <c r="BC85" s="52">
        <v>1941.626</v>
      </c>
      <c r="BD85" s="52">
        <v>257.99858999999998</v>
      </c>
      <c r="BE85" s="52">
        <v>16623.3484110055</v>
      </c>
      <c r="BF85" s="52">
        <v>7352.5034332396699</v>
      </c>
      <c r="BG85" s="52">
        <v>726.61497850000001</v>
      </c>
      <c r="BH85" s="52">
        <v>3749.4667061727901</v>
      </c>
      <c r="BI85" s="52">
        <v>313.60959913130699</v>
      </c>
      <c r="BJ85" s="53">
        <v>129315.48989290722</v>
      </c>
      <c r="BL85" s="15">
        <v>5.76</v>
      </c>
      <c r="BM85" s="12"/>
      <c r="BN85" s="15">
        <v>6.12</v>
      </c>
      <c r="BO85" s="12"/>
      <c r="BP85" s="15">
        <v>6.6</v>
      </c>
      <c r="BQ85" s="12"/>
      <c r="BR85" s="15">
        <v>6.24</v>
      </c>
      <c r="BS85" s="9"/>
    </row>
    <row r="86" spans="1:71" x14ac:dyDescent="0.2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3">
        <v>18339.817999999999</v>
      </c>
      <c r="AN86" s="52">
        <v>57658.697</v>
      </c>
      <c r="AO86" s="52">
        <v>47430.807325620386</v>
      </c>
      <c r="AP86" s="52">
        <v>32695.950525941658</v>
      </c>
      <c r="AQ86" s="52">
        <v>14734.85679967873</v>
      </c>
      <c r="AR86" s="52">
        <v>10204.670130153188</v>
      </c>
      <c r="AS86" s="52">
        <v>23.219544226427782</v>
      </c>
      <c r="AT86" s="52">
        <v>3162.57</v>
      </c>
      <c r="AU86" s="52">
        <v>9877.4998868755902</v>
      </c>
      <c r="AV86" s="52">
        <v>553.90717861799999</v>
      </c>
      <c r="AW86" s="52">
        <v>9748.9314838783594</v>
      </c>
      <c r="AX86" s="52">
        <v>31.042317805500002</v>
      </c>
      <c r="AY86" s="53">
        <v>79812.518263809732</v>
      </c>
      <c r="AZ86" s="52">
        <v>7475.79</v>
      </c>
      <c r="BA86" s="52">
        <v>9741.7119999999995</v>
      </c>
      <c r="BB86" s="52">
        <v>10014.9</v>
      </c>
      <c r="BC86" s="52">
        <v>1825.82</v>
      </c>
      <c r="BD86" s="52">
        <v>220.04479749999999</v>
      </c>
      <c r="BE86" s="52">
        <v>16529.928829879998</v>
      </c>
      <c r="BF86" s="52">
        <v>7132.4216920361996</v>
      </c>
      <c r="BG86" s="52">
        <v>724.73113599999999</v>
      </c>
      <c r="BH86" s="52">
        <v>3630.0288032623298</v>
      </c>
      <c r="BI86" s="52">
        <v>313.61934105312002</v>
      </c>
      <c r="BJ86" s="53">
        <v>129534.21857491047</v>
      </c>
      <c r="BL86" s="15">
        <v>5.52</v>
      </c>
      <c r="BM86" s="12"/>
      <c r="BN86" s="15">
        <v>5.76</v>
      </c>
      <c r="BO86" s="12"/>
      <c r="BP86" s="15">
        <v>6.36</v>
      </c>
      <c r="BQ86" s="12"/>
      <c r="BR86" s="15">
        <v>6</v>
      </c>
      <c r="BS86" s="9"/>
    </row>
    <row r="87" spans="1:71" x14ac:dyDescent="0.2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3">
        <v>17808.11</v>
      </c>
      <c r="AN87" s="52">
        <v>57998.028000000006</v>
      </c>
      <c r="AO87" s="52">
        <v>47678.054815806936</v>
      </c>
      <c r="AP87" s="52">
        <v>33457.353696940889</v>
      </c>
      <c r="AQ87" s="52">
        <v>14220.701118866054</v>
      </c>
      <c r="AR87" s="52">
        <v>10296.578451652798</v>
      </c>
      <c r="AS87" s="52">
        <v>23.394732540272113</v>
      </c>
      <c r="AT87" s="52">
        <v>3214.3910000000001</v>
      </c>
      <c r="AU87" s="52">
        <v>10180.120286924201</v>
      </c>
      <c r="AV87" s="52">
        <v>553.18055731200002</v>
      </c>
      <c r="AW87" s="52">
        <v>10304.645652523201</v>
      </c>
      <c r="AX87" s="52">
        <v>32.954183589000003</v>
      </c>
      <c r="AY87" s="53">
        <v>79416.23000812401</v>
      </c>
      <c r="AZ87" s="52">
        <v>7291.74</v>
      </c>
      <c r="BA87" s="52">
        <v>10120.030293059999</v>
      </c>
      <c r="BB87" s="52">
        <v>10066.56</v>
      </c>
      <c r="BC87" s="52">
        <v>1844.4</v>
      </c>
      <c r="BD87" s="52">
        <v>178.745237</v>
      </c>
      <c r="BE87" s="52">
        <v>16537.19859838</v>
      </c>
      <c r="BF87" s="52">
        <v>7014.6040479809899</v>
      </c>
      <c r="BG87" s="52">
        <v>721.01168700000005</v>
      </c>
      <c r="BH87" s="52">
        <v>3644.4454608266001</v>
      </c>
      <c r="BI87" s="52">
        <v>313.90351304968198</v>
      </c>
      <c r="BJ87" s="53">
        <v>129232.17089766871</v>
      </c>
      <c r="BL87" s="15">
        <v>5.52</v>
      </c>
      <c r="BM87" s="12"/>
      <c r="BN87" s="15">
        <v>5.52</v>
      </c>
      <c r="BO87" s="12"/>
      <c r="BP87" s="15">
        <v>6.36</v>
      </c>
      <c r="BQ87" s="12"/>
      <c r="BR87" s="15">
        <v>6.24</v>
      </c>
      <c r="BS87" s="9"/>
    </row>
    <row r="88" spans="1:71" x14ac:dyDescent="0.2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3">
        <v>18638.737000000001</v>
      </c>
      <c r="AN88" s="52">
        <v>58377.897499999999</v>
      </c>
      <c r="AO88" s="52">
        <v>47951.786880248947</v>
      </c>
      <c r="AP88" s="52">
        <v>33670.233330761148</v>
      </c>
      <c r="AQ88" s="52">
        <v>14281.553549487797</v>
      </c>
      <c r="AR88" s="52">
        <v>10403.210450764875</v>
      </c>
      <c r="AS88" s="52">
        <v>22.900168986183949</v>
      </c>
      <c r="AT88" s="52">
        <v>3165.8609999999999</v>
      </c>
      <c r="AU88" s="52">
        <v>10011.324347682599</v>
      </c>
      <c r="AV88" s="52">
        <v>552.17239396100001</v>
      </c>
      <c r="AW88" s="52">
        <v>10183.068967192899</v>
      </c>
      <c r="AX88" s="52">
        <v>30.063564340999999</v>
      </c>
      <c r="AY88" s="53">
        <v>80532.859710109711</v>
      </c>
      <c r="AZ88" s="52">
        <v>7141.35</v>
      </c>
      <c r="BA88" s="52">
        <v>10073.174000000001</v>
      </c>
      <c r="BB88" s="52">
        <v>10202.66</v>
      </c>
      <c r="BC88" s="52">
        <v>1796.84</v>
      </c>
      <c r="BD88" s="52">
        <v>176.096407</v>
      </c>
      <c r="BE88" s="52">
        <v>16526.576958306501</v>
      </c>
      <c r="BF88" s="52">
        <v>7102.9912026811498</v>
      </c>
      <c r="BG88" s="52">
        <v>725.19064749999995</v>
      </c>
      <c r="BH88" s="52">
        <v>3668.7408280597501</v>
      </c>
      <c r="BI88" s="52">
        <v>315.866936170722</v>
      </c>
      <c r="BJ88" s="53">
        <v>130293.13116136689</v>
      </c>
      <c r="BL88" s="15">
        <v>5.64</v>
      </c>
      <c r="BM88" s="12"/>
      <c r="BN88" s="15">
        <v>5.88</v>
      </c>
      <c r="BO88" s="12"/>
      <c r="BP88" s="15">
        <v>6.48</v>
      </c>
      <c r="BQ88" s="12"/>
      <c r="BR88" s="15">
        <v>6.24</v>
      </c>
      <c r="BS88" s="9"/>
    </row>
    <row r="89" spans="1:71" x14ac:dyDescent="0.2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3">
        <v>18312.796999999999</v>
      </c>
      <c r="AN89" s="52">
        <v>58732.563000000002</v>
      </c>
      <c r="AO89" s="52">
        <v>48149.49889432804</v>
      </c>
      <c r="AP89" s="52">
        <v>33756.249371175058</v>
      </c>
      <c r="AQ89" s="52">
        <v>14393.249523152985</v>
      </c>
      <c r="AR89" s="52">
        <v>10560.710537041878</v>
      </c>
      <c r="AS89" s="52">
        <v>22.353568630083505</v>
      </c>
      <c r="AT89" s="52">
        <v>3183.35</v>
      </c>
      <c r="AU89" s="52">
        <v>10090.478747307199</v>
      </c>
      <c r="AV89" s="52">
        <v>535.04464374199995</v>
      </c>
      <c r="AW89" s="52">
        <v>10133.042902851101</v>
      </c>
      <c r="AX89" s="52">
        <v>27.224178278999901</v>
      </c>
      <c r="AY89" s="53">
        <v>80693.966309919095</v>
      </c>
      <c r="AZ89" s="52">
        <v>7301.2</v>
      </c>
      <c r="BA89" s="52">
        <v>10228.42</v>
      </c>
      <c r="BB89" s="52">
        <v>10347.36</v>
      </c>
      <c r="BC89" s="52">
        <v>1551.78</v>
      </c>
      <c r="BD89" s="52">
        <v>181.2706465</v>
      </c>
      <c r="BE89" s="52">
        <v>16438.675029806502</v>
      </c>
      <c r="BF89" s="52">
        <v>7231.5050015414299</v>
      </c>
      <c r="BG89" s="52">
        <v>732.33823949999999</v>
      </c>
      <c r="BH89" s="52">
        <v>3768.8919087033901</v>
      </c>
      <c r="BI89" s="52">
        <v>315.74860864198598</v>
      </c>
      <c r="BJ89" s="53">
        <v>130621.87470992164</v>
      </c>
      <c r="BL89" s="15">
        <v>5.76</v>
      </c>
      <c r="BM89" s="12"/>
      <c r="BN89" s="15">
        <v>6.12</v>
      </c>
      <c r="BO89" s="12"/>
      <c r="BP89" s="15">
        <v>6.6</v>
      </c>
      <c r="BQ89" s="12"/>
      <c r="BR89" s="15">
        <v>6.72</v>
      </c>
      <c r="BS89" s="9"/>
    </row>
    <row r="90" spans="1:71" x14ac:dyDescent="0.2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3">
        <v>18272.034</v>
      </c>
      <c r="AN90" s="52">
        <v>58880.646000000001</v>
      </c>
      <c r="AO90" s="52">
        <v>48086.496967248873</v>
      </c>
      <c r="AP90" s="52">
        <v>33939.713913004249</v>
      </c>
      <c r="AQ90" s="52">
        <v>14146.783054244625</v>
      </c>
      <c r="AR90" s="52">
        <v>10771.545563898266</v>
      </c>
      <c r="AS90" s="52">
        <v>22.603468852854792</v>
      </c>
      <c r="AT90" s="52">
        <v>3196.913</v>
      </c>
      <c r="AU90" s="52">
        <v>11169.681157950599</v>
      </c>
      <c r="AV90" s="52">
        <v>527.53824238950006</v>
      </c>
      <c r="AW90" s="52">
        <v>11179.923043077601</v>
      </c>
      <c r="AX90" s="52">
        <v>28.9242247164999</v>
      </c>
      <c r="AY90" s="53">
        <v>80837.965132545985</v>
      </c>
      <c r="AZ90" s="52">
        <v>7697.52</v>
      </c>
      <c r="BA90" s="52">
        <v>10694.7</v>
      </c>
      <c r="BB90" s="52">
        <v>10373.4</v>
      </c>
      <c r="BC90" s="52">
        <v>1419.86</v>
      </c>
      <c r="BD90" s="52">
        <v>196.57450600000001</v>
      </c>
      <c r="BE90" s="52">
        <v>16453.5346245</v>
      </c>
      <c r="BF90" s="52">
        <v>7291.99969224492</v>
      </c>
      <c r="BG90" s="52">
        <v>733.36134000000004</v>
      </c>
      <c r="BH90" s="52">
        <v>3955.9570984432999</v>
      </c>
      <c r="BI90" s="52">
        <v>310.80837381648701</v>
      </c>
      <c r="BJ90" s="53">
        <v>131432.14982303113</v>
      </c>
      <c r="BL90" s="15">
        <v>5.64</v>
      </c>
      <c r="BM90" s="12"/>
      <c r="BN90" s="15">
        <v>6.12</v>
      </c>
      <c r="BO90" s="12"/>
      <c r="BP90" s="15">
        <v>6.6</v>
      </c>
      <c r="BQ90" s="12"/>
      <c r="BR90" s="15">
        <v>5.88</v>
      </c>
      <c r="BS90" s="9"/>
    </row>
    <row r="91" spans="1:71" x14ac:dyDescent="0.2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3">
        <v>19598.415999999997</v>
      </c>
      <c r="AN91" s="52">
        <v>58532.285499999998</v>
      </c>
      <c r="AO91" s="52">
        <v>47758.122657517204</v>
      </c>
      <c r="AP91" s="52">
        <v>33976.244225017173</v>
      </c>
      <c r="AQ91" s="52">
        <v>13781.878432500027</v>
      </c>
      <c r="AR91" s="52">
        <v>10751.090031627271</v>
      </c>
      <c r="AS91" s="52">
        <v>23.072810855521556</v>
      </c>
      <c r="AT91" s="52">
        <v>3189.6790000000001</v>
      </c>
      <c r="AU91" s="52">
        <v>10935.480893899399</v>
      </c>
      <c r="AV91" s="52">
        <v>523.71411613949999</v>
      </c>
      <c r="AW91" s="52">
        <v>10835.855057319701</v>
      </c>
      <c r="AX91" s="52">
        <v>26.463384279</v>
      </c>
      <c r="AY91" s="53">
        <v>81917.257068440202</v>
      </c>
      <c r="AZ91" s="52">
        <v>8068.6</v>
      </c>
      <c r="BA91" s="52">
        <v>9420.48</v>
      </c>
      <c r="BB91" s="52">
        <v>10453.84</v>
      </c>
      <c r="BC91" s="52">
        <v>1490.72</v>
      </c>
      <c r="BD91" s="52">
        <v>209.4110235</v>
      </c>
      <c r="BE91" s="52">
        <v>16610.991207821</v>
      </c>
      <c r="BF91" s="52">
        <v>7217.6124056516001</v>
      </c>
      <c r="BG91" s="52">
        <v>736.34220549999998</v>
      </c>
      <c r="BH91" s="52">
        <v>3745.4505700262298</v>
      </c>
      <c r="BI91" s="52">
        <v>306.982377260492</v>
      </c>
      <c r="BJ91" s="53">
        <v>132072.82096362609</v>
      </c>
      <c r="BL91" s="15">
        <v>5.88</v>
      </c>
      <c r="BM91" s="12"/>
      <c r="BN91" s="15">
        <v>6.12</v>
      </c>
      <c r="BO91" s="12"/>
      <c r="BP91" s="15">
        <v>6.72</v>
      </c>
      <c r="BQ91" s="12"/>
      <c r="BR91" s="15">
        <v>6</v>
      </c>
      <c r="BS91" s="9"/>
    </row>
    <row r="92" spans="1:71" x14ac:dyDescent="0.2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3">
        <v>20113.553</v>
      </c>
      <c r="AN92" s="52">
        <v>58628.198499999999</v>
      </c>
      <c r="AO92" s="52">
        <v>47931.318465724362</v>
      </c>
      <c r="AP92" s="52">
        <v>34129.68511919782</v>
      </c>
      <c r="AQ92" s="52">
        <v>13801.633346526547</v>
      </c>
      <c r="AR92" s="52">
        <v>10673.661499167099</v>
      </c>
      <c r="AS92" s="52">
        <v>23.218535108538813</v>
      </c>
      <c r="AT92" s="52">
        <v>3186.9140000000002</v>
      </c>
      <c r="AU92" s="52">
        <v>9935.8962768740603</v>
      </c>
      <c r="AV92" s="52">
        <v>524.65397428899996</v>
      </c>
      <c r="AW92" s="52">
        <v>9749.6850553865097</v>
      </c>
      <c r="AX92" s="52">
        <v>26.634598763</v>
      </c>
      <c r="AY92" s="53">
        <v>82612.896097013552</v>
      </c>
      <c r="AZ92" s="52">
        <v>8082.71</v>
      </c>
      <c r="BA92" s="52">
        <v>9113.26</v>
      </c>
      <c r="BB92" s="52">
        <v>11068.03</v>
      </c>
      <c r="BC92" s="52">
        <v>1478.92</v>
      </c>
      <c r="BD92" s="52">
        <v>222.83386849999999</v>
      </c>
      <c r="BE92" s="52">
        <v>16821.846780321001</v>
      </c>
      <c r="BF92" s="52">
        <v>7191.8786356758801</v>
      </c>
      <c r="BG92" s="52">
        <v>745.35621200000003</v>
      </c>
      <c r="BH92" s="52">
        <v>3654.9715061481502</v>
      </c>
      <c r="BI92" s="52">
        <v>301.08591872205</v>
      </c>
      <c r="BJ92" s="53">
        <v>133381.67416864025</v>
      </c>
      <c r="BL92" s="15">
        <v>5.52</v>
      </c>
      <c r="BM92" s="12"/>
      <c r="BN92" s="15">
        <v>5.52</v>
      </c>
      <c r="BO92" s="12"/>
      <c r="BP92" s="15">
        <v>6.6</v>
      </c>
      <c r="BQ92" s="12"/>
      <c r="BR92" s="15">
        <v>6.84</v>
      </c>
      <c r="BS92" s="9"/>
    </row>
    <row r="93" spans="1:71" x14ac:dyDescent="0.2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3">
        <v>19635.841758044498</v>
      </c>
      <c r="AN93" s="52">
        <v>59185.429000000004</v>
      </c>
      <c r="AO93" s="52">
        <v>48402.760332238395</v>
      </c>
      <c r="AP93" s="52">
        <v>33912.932961415863</v>
      </c>
      <c r="AQ93" s="52">
        <v>14489.827370822528</v>
      </c>
      <c r="AR93" s="52">
        <v>10759.666435335777</v>
      </c>
      <c r="AS93" s="52">
        <v>23.002232425817706</v>
      </c>
      <c r="AT93" s="52">
        <v>3193.5790000000002</v>
      </c>
      <c r="AU93" s="52">
        <v>9192.1391897291705</v>
      </c>
      <c r="AV93" s="52">
        <v>530.65212148399996</v>
      </c>
      <c r="AW93" s="52">
        <v>9063.6267350748403</v>
      </c>
      <c r="AX93" s="52">
        <v>30.351860088999999</v>
      </c>
      <c r="AY93" s="53">
        <v>82643.662474093813</v>
      </c>
      <c r="AZ93" s="52">
        <v>8002.7539999999999</v>
      </c>
      <c r="BA93" s="52">
        <v>9729.9599999999991</v>
      </c>
      <c r="BB93" s="52">
        <v>11053.27</v>
      </c>
      <c r="BC93" s="52">
        <v>1450.55</v>
      </c>
      <c r="BD93" s="52">
        <v>231.037621</v>
      </c>
      <c r="BE93" s="52">
        <v>16932.295286500001</v>
      </c>
      <c r="BF93" s="52">
        <v>7304.9737817516097</v>
      </c>
      <c r="BG93" s="52">
        <v>754.29323399999998</v>
      </c>
      <c r="BH93" s="52">
        <v>3768.2533933126501</v>
      </c>
      <c r="BI93" s="52">
        <v>299.30397844139202</v>
      </c>
      <c r="BJ93" s="53">
        <v>134035.23902559138</v>
      </c>
      <c r="BL93" s="15">
        <v>5.28</v>
      </c>
      <c r="BM93" s="12"/>
      <c r="BN93" s="15">
        <v>5.4</v>
      </c>
      <c r="BO93" s="12"/>
      <c r="BP93" s="15">
        <v>5.64</v>
      </c>
      <c r="BQ93" s="12"/>
      <c r="BR93" s="15">
        <v>5.76</v>
      </c>
      <c r="BS93" s="9"/>
    </row>
    <row r="94" spans="1:71" x14ac:dyDescent="0.2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3">
        <v>19926.3233733997</v>
      </c>
      <c r="AN94" s="52">
        <v>59984.014999999999</v>
      </c>
      <c r="AO94" s="52">
        <v>48996.228375211664</v>
      </c>
      <c r="AP94" s="52">
        <v>33802.944000196505</v>
      </c>
      <c r="AQ94" s="52">
        <v>15193.284375015164</v>
      </c>
      <c r="AR94" s="52">
        <v>10966.275178659716</v>
      </c>
      <c r="AS94" s="52">
        <v>21.511446128619518</v>
      </c>
      <c r="AT94" s="52">
        <v>3214.194</v>
      </c>
      <c r="AU94" s="52">
        <v>9313.4923548986499</v>
      </c>
      <c r="AV94" s="52">
        <v>540.24465861650003</v>
      </c>
      <c r="AW94" s="52">
        <v>9174.9244679067906</v>
      </c>
      <c r="AX94" s="52">
        <v>30.671665119499998</v>
      </c>
      <c r="AY94" s="53">
        <v>83772.67325388857</v>
      </c>
      <c r="AZ94" s="52">
        <v>8012.34</v>
      </c>
      <c r="BA94" s="52">
        <v>9597.14</v>
      </c>
      <c r="BB94" s="52">
        <v>11168.83</v>
      </c>
      <c r="BC94" s="52">
        <v>1527.664</v>
      </c>
      <c r="BD94" s="52">
        <v>218.2914475</v>
      </c>
      <c r="BE94" s="52">
        <v>16967.063505499998</v>
      </c>
      <c r="BF94" s="52">
        <v>7442.9632248779599</v>
      </c>
      <c r="BG94" s="52">
        <v>760.26499249999995</v>
      </c>
      <c r="BH94" s="52">
        <v>3687.8496852876701</v>
      </c>
      <c r="BI94" s="52">
        <v>302.64389656721897</v>
      </c>
      <c r="BJ94" s="53">
        <v>135476.73684241166</v>
      </c>
      <c r="BL94" s="15">
        <v>5.28</v>
      </c>
      <c r="BM94" s="12"/>
      <c r="BN94" s="15">
        <v>5.4</v>
      </c>
      <c r="BO94" s="12"/>
      <c r="BP94" s="15">
        <v>6</v>
      </c>
      <c r="BQ94" s="12"/>
      <c r="BR94" s="15">
        <v>5.52</v>
      </c>
      <c r="BS94" s="9"/>
    </row>
    <row r="95" spans="1:71" x14ac:dyDescent="0.2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3">
        <v>19991.962</v>
      </c>
      <c r="AN95" s="52">
        <v>60604.859499999999</v>
      </c>
      <c r="AO95" s="52">
        <v>49293.510293186926</v>
      </c>
      <c r="AP95" s="52">
        <v>34044.585792692145</v>
      </c>
      <c r="AQ95" s="52">
        <v>15248.924500494782</v>
      </c>
      <c r="AR95" s="52">
        <v>11291.636072384119</v>
      </c>
      <c r="AS95" s="52">
        <v>19.713134428950681</v>
      </c>
      <c r="AT95" s="52">
        <v>3241.1439999999998</v>
      </c>
      <c r="AU95" s="52">
        <v>10557.8664431539</v>
      </c>
      <c r="AV95" s="52">
        <v>545.51205477600001</v>
      </c>
      <c r="AW95" s="52">
        <v>10287.6045672526</v>
      </c>
      <c r="AX95" s="52">
        <v>30.5164185985</v>
      </c>
      <c r="AY95" s="53">
        <v>84623.223012078786</v>
      </c>
      <c r="AZ95" s="52">
        <v>8184.93</v>
      </c>
      <c r="BA95" s="52">
        <v>10276.59</v>
      </c>
      <c r="BB95" s="52">
        <v>11433.98</v>
      </c>
      <c r="BC95" s="52">
        <v>1333.83</v>
      </c>
      <c r="BD95" s="52">
        <v>212.92004399999999</v>
      </c>
      <c r="BE95" s="52">
        <v>17134.263898000001</v>
      </c>
      <c r="BF95" s="52">
        <v>7462.8434772221699</v>
      </c>
      <c r="BG95" s="52">
        <v>764.05670850000001</v>
      </c>
      <c r="BH95" s="52">
        <v>3893.43359120593</v>
      </c>
      <c r="BI95" s="52">
        <v>312.81016459774702</v>
      </c>
      <c r="BJ95" s="53">
        <v>137220.39338399729</v>
      </c>
      <c r="BL95" s="15">
        <v>4.92</v>
      </c>
      <c r="BM95" s="12"/>
      <c r="BN95" s="15">
        <v>5.04</v>
      </c>
      <c r="BO95" s="12"/>
      <c r="BP95" s="15">
        <v>5.76</v>
      </c>
      <c r="BQ95" s="12"/>
      <c r="BR95" s="15">
        <v>5.28</v>
      </c>
      <c r="BS95" s="9"/>
    </row>
    <row r="96" spans="1:71" x14ac:dyDescent="0.2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3">
        <v>20370.534</v>
      </c>
      <c r="AN96" s="52">
        <v>61312.448000000004</v>
      </c>
      <c r="AO96" s="52">
        <v>49796.7956839619</v>
      </c>
      <c r="AP96" s="52">
        <v>34394.340091602033</v>
      </c>
      <c r="AQ96" s="52">
        <v>15402.455592359871</v>
      </c>
      <c r="AR96" s="52">
        <v>11496.185384387407</v>
      </c>
      <c r="AS96" s="52">
        <v>19.466931650689002</v>
      </c>
      <c r="AT96" s="52">
        <v>3267.82</v>
      </c>
      <c r="AU96" s="52">
        <v>12144.496142647</v>
      </c>
      <c r="AV96" s="52">
        <v>548.24303933199997</v>
      </c>
      <c r="AW96" s="52">
        <v>11585.0931033215</v>
      </c>
      <c r="AX96" s="52">
        <v>31.776936093500002</v>
      </c>
      <c r="AY96" s="53">
        <v>86026.67114256401</v>
      </c>
      <c r="AZ96" s="52">
        <v>8517.5300000000007</v>
      </c>
      <c r="BA96" s="52">
        <v>10687.8</v>
      </c>
      <c r="BB96" s="52">
        <v>11865.38</v>
      </c>
      <c r="BC96" s="52">
        <v>1390.55</v>
      </c>
      <c r="BD96" s="52">
        <v>216.25049050000001</v>
      </c>
      <c r="BE96" s="52">
        <v>17265.981302</v>
      </c>
      <c r="BF96" s="52">
        <v>7487.3947211608702</v>
      </c>
      <c r="BG96" s="52">
        <v>770.99131750000004</v>
      </c>
      <c r="BH96" s="52">
        <v>4156.6385202871897</v>
      </c>
      <c r="BI96" s="52">
        <v>325.02709457500998</v>
      </c>
      <c r="BJ96" s="53">
        <v>139746.88335886266</v>
      </c>
      <c r="BL96" s="15">
        <v>4.8</v>
      </c>
      <c r="BM96" s="12"/>
      <c r="BN96" s="15">
        <v>5.04</v>
      </c>
      <c r="BO96" s="12"/>
      <c r="BP96" s="15">
        <v>5.52</v>
      </c>
      <c r="BQ96" s="12"/>
      <c r="BR96" s="15">
        <v>5.4</v>
      </c>
      <c r="BS96" s="9"/>
    </row>
    <row r="97" spans="1:73" x14ac:dyDescent="0.2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3">
        <v>20773.986000000001</v>
      </c>
      <c r="AN97" s="52">
        <v>62329.648000000001</v>
      </c>
      <c r="AO97" s="52">
        <v>50730.438394442288</v>
      </c>
      <c r="AP97" s="52">
        <v>34650.797579859995</v>
      </c>
      <c r="AQ97" s="52">
        <v>16079.640814582292</v>
      </c>
      <c r="AR97" s="52">
        <v>11579.46774165939</v>
      </c>
      <c r="AS97" s="52">
        <v>19.741863898316527</v>
      </c>
      <c r="AT97" s="52">
        <v>3297.049</v>
      </c>
      <c r="AU97" s="52">
        <v>11437.071521321101</v>
      </c>
      <c r="AV97" s="52">
        <v>559.51957145699998</v>
      </c>
      <c r="AW97" s="52">
        <v>10854.7134498961</v>
      </c>
      <c r="AX97" s="52">
        <v>37.987573570999999</v>
      </c>
      <c r="AY97" s="53">
        <v>87504.573069311009</v>
      </c>
      <c r="AZ97" s="52">
        <v>8809.85</v>
      </c>
      <c r="BA97" s="52">
        <v>10366.280000000001</v>
      </c>
      <c r="BB97" s="52">
        <v>12198.08</v>
      </c>
      <c r="BC97" s="52">
        <v>1288.8699999999999</v>
      </c>
      <c r="BD97" s="52">
        <v>212.1981955</v>
      </c>
      <c r="BE97" s="52">
        <v>17235.910854500002</v>
      </c>
      <c r="BF97" s="52">
        <v>7489.2069834199701</v>
      </c>
      <c r="BG97" s="52">
        <v>769.06223150000005</v>
      </c>
      <c r="BH97" s="52">
        <v>3962.0338764654698</v>
      </c>
      <c r="BI97" s="52">
        <v>327.93084687656301</v>
      </c>
      <c r="BJ97" s="53">
        <v>141584.06661088893</v>
      </c>
      <c r="BL97" s="15">
        <v>5.04</v>
      </c>
      <c r="BM97" s="12"/>
      <c r="BN97" s="15">
        <v>5.16</v>
      </c>
      <c r="BO97" s="12"/>
      <c r="BP97" s="15">
        <v>5.4</v>
      </c>
      <c r="BQ97" s="12"/>
      <c r="BR97" s="15">
        <v>5.64</v>
      </c>
      <c r="BS97" s="9"/>
    </row>
    <row r="98" spans="1:73" x14ac:dyDescent="0.2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3">
        <v>20848.742549999999</v>
      </c>
      <c r="AN98" s="52">
        <v>62829.702000000005</v>
      </c>
      <c r="AO98" s="52">
        <v>51179.865279645412</v>
      </c>
      <c r="AP98" s="52">
        <v>34574.990598525044</v>
      </c>
      <c r="AQ98" s="52">
        <v>16604.874681120367</v>
      </c>
      <c r="AR98" s="52">
        <v>11623.47039589045</v>
      </c>
      <c r="AS98" s="52">
        <v>26.366324464146942</v>
      </c>
      <c r="AT98" s="52">
        <v>3317.72</v>
      </c>
      <c r="AU98" s="52">
        <v>10500.764471057</v>
      </c>
      <c r="AV98" s="52">
        <v>559.27391510150005</v>
      </c>
      <c r="AW98" s="52">
        <v>9960.0111412177794</v>
      </c>
      <c r="AX98" s="52">
        <v>41.150848197167001</v>
      </c>
      <c r="AY98" s="53">
        <v>88055.040946743553</v>
      </c>
      <c r="AZ98" s="52">
        <v>9258.0876905000005</v>
      </c>
      <c r="BA98" s="52">
        <v>10551.92</v>
      </c>
      <c r="BB98" s="52">
        <v>12470.28</v>
      </c>
      <c r="BC98" s="52">
        <v>1115.0129999999999</v>
      </c>
      <c r="BD98" s="52">
        <v>180.99684500000001</v>
      </c>
      <c r="BE98" s="52">
        <v>17073.432420500001</v>
      </c>
      <c r="BF98" s="52">
        <v>7512.8966345378103</v>
      </c>
      <c r="BG98" s="52">
        <v>766.45123349999994</v>
      </c>
      <c r="BH98" s="52">
        <v>3859.3954535979701</v>
      </c>
      <c r="BI98" s="52">
        <v>326.97267657258402</v>
      </c>
      <c r="BJ98" s="53">
        <v>142797.75064061082</v>
      </c>
      <c r="BL98" s="15">
        <v>5.16</v>
      </c>
      <c r="BM98" s="12"/>
      <c r="BN98" s="15">
        <v>5.28</v>
      </c>
      <c r="BO98" s="12"/>
      <c r="BP98" s="15">
        <v>5.52</v>
      </c>
      <c r="BQ98" s="12"/>
      <c r="BR98" s="15">
        <v>5.76</v>
      </c>
      <c r="BS98" s="9"/>
    </row>
    <row r="99" spans="1:73" x14ac:dyDescent="0.2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3">
        <v>20444.906999999999</v>
      </c>
      <c r="AN99" s="52">
        <v>63499.520499999999</v>
      </c>
      <c r="AO99" s="52">
        <v>51703.713708672251</v>
      </c>
      <c r="AP99" s="52">
        <v>34771.147660980576</v>
      </c>
      <c r="AQ99" s="52">
        <v>16932.566047691678</v>
      </c>
      <c r="AR99" s="52">
        <v>11760.409921449571</v>
      </c>
      <c r="AS99" s="52">
        <v>35.396869878185953</v>
      </c>
      <c r="AT99" s="52">
        <v>3334.85</v>
      </c>
      <c r="AU99" s="52">
        <v>11598.586705461301</v>
      </c>
      <c r="AV99" s="52">
        <v>546.07476028450003</v>
      </c>
      <c r="AW99" s="52">
        <v>10964.774220176199</v>
      </c>
      <c r="AX99" s="52">
        <v>41.312020088154298</v>
      </c>
      <c r="AY99" s="53">
        <v>88417.85272548144</v>
      </c>
      <c r="AZ99" s="52">
        <v>9605.48</v>
      </c>
      <c r="BA99" s="52">
        <v>10931</v>
      </c>
      <c r="BB99" s="52">
        <v>12812.89</v>
      </c>
      <c r="BC99" s="52">
        <v>1136.6300000000001</v>
      </c>
      <c r="BD99" s="52">
        <v>150.16604100000001</v>
      </c>
      <c r="BE99" s="52">
        <v>17682.202528000002</v>
      </c>
      <c r="BF99" s="52">
        <v>7572.5965652654704</v>
      </c>
      <c r="BG99" s="52">
        <v>764.61644650000005</v>
      </c>
      <c r="BH99" s="52">
        <v>4068.4210899367799</v>
      </c>
      <c r="BI99" s="52">
        <v>330.70368720135798</v>
      </c>
      <c r="BJ99" s="53">
        <v>144674.30952910878</v>
      </c>
      <c r="BL99" s="15">
        <v>5.16</v>
      </c>
      <c r="BM99" s="12"/>
      <c r="BN99" s="15">
        <v>5.28</v>
      </c>
      <c r="BO99" s="12"/>
      <c r="BP99" s="15">
        <v>5.4</v>
      </c>
      <c r="BQ99" s="12"/>
      <c r="BR99" s="15">
        <v>5.52</v>
      </c>
      <c r="BS99" s="9"/>
    </row>
    <row r="100" spans="1:73" x14ac:dyDescent="0.2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3">
        <v>21103.84490876428</v>
      </c>
      <c r="AN100" s="52">
        <v>63824.335999999996</v>
      </c>
      <c r="AO100" s="52">
        <v>51727.577069892774</v>
      </c>
      <c r="AP100" s="52">
        <v>34521.757365901656</v>
      </c>
      <c r="AQ100" s="52">
        <v>17205.819703991117</v>
      </c>
      <c r="AR100" s="52">
        <v>12056.492783222893</v>
      </c>
      <c r="AS100" s="52">
        <v>40.266146884338738</v>
      </c>
      <c r="AT100" s="52">
        <v>3349.0219999999999</v>
      </c>
      <c r="AU100" s="52">
        <v>11510.7391860801</v>
      </c>
      <c r="AV100" s="52">
        <v>535.17595421450005</v>
      </c>
      <c r="AW100" s="52">
        <v>10994.725551510301</v>
      </c>
      <c r="AX100" s="52">
        <v>42.3274843826539</v>
      </c>
      <c r="AY100" s="53">
        <v>89286.06501316592</v>
      </c>
      <c r="AZ100" s="52">
        <v>9548.1068361425005</v>
      </c>
      <c r="BA100" s="52">
        <v>11082.259616011001</v>
      </c>
      <c r="BB100" s="52">
        <v>13067.575789312799</v>
      </c>
      <c r="BC100" s="52">
        <v>1143.596</v>
      </c>
      <c r="BD100" s="52">
        <v>149.32443549999999</v>
      </c>
      <c r="BE100" s="52">
        <v>18101.054451</v>
      </c>
      <c r="BF100" s="52">
        <v>7573.9759426619003</v>
      </c>
      <c r="BG100" s="52">
        <v>766.22891300000003</v>
      </c>
      <c r="BH100" s="52">
        <v>4111.7442036093698</v>
      </c>
      <c r="BI100" s="52">
        <v>335.85089040337999</v>
      </c>
      <c r="BJ100" s="53">
        <v>146270.59190278139</v>
      </c>
      <c r="BL100" s="15">
        <v>5.16</v>
      </c>
      <c r="BM100" s="12"/>
      <c r="BN100" s="15">
        <v>5.4</v>
      </c>
      <c r="BO100" s="12"/>
      <c r="BP100" s="15">
        <v>5.52</v>
      </c>
      <c r="BQ100" s="12"/>
      <c r="BR100" s="15">
        <v>5.76</v>
      </c>
      <c r="BS100" s="9"/>
    </row>
    <row r="101" spans="1:73" x14ac:dyDescent="0.2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3">
        <v>20400.657981870379</v>
      </c>
      <c r="AN101" s="52">
        <v>64032.960500000001</v>
      </c>
      <c r="AO101" s="52">
        <v>51678.553939133693</v>
      </c>
      <c r="AP101" s="52">
        <v>34346.838497695593</v>
      </c>
      <c r="AQ101" s="52">
        <v>17331.7154414381</v>
      </c>
      <c r="AR101" s="52">
        <v>12305.727712495082</v>
      </c>
      <c r="AS101" s="52">
        <v>48.678848371229549</v>
      </c>
      <c r="AT101" s="52">
        <v>3357.605</v>
      </c>
      <c r="AU101" s="52">
        <v>11653.905722822299</v>
      </c>
      <c r="AV101" s="52">
        <v>529.99138439800004</v>
      </c>
      <c r="AW101" s="52">
        <v>11357.648651892199</v>
      </c>
      <c r="AX101" s="52">
        <v>41.323367561241099</v>
      </c>
      <c r="AY101" s="53">
        <v>88576.148569637226</v>
      </c>
      <c r="AZ101" s="52">
        <v>9431.4192887749996</v>
      </c>
      <c r="BA101" s="52">
        <v>11107.279546481999</v>
      </c>
      <c r="BB101" s="52">
        <v>13407.939865431001</v>
      </c>
      <c r="BC101" s="52">
        <v>1069.69</v>
      </c>
      <c r="BD101" s="52">
        <v>156.88345100000001</v>
      </c>
      <c r="BE101" s="52">
        <v>17907.501324500001</v>
      </c>
      <c r="BF101" s="52">
        <v>7753.7108089537996</v>
      </c>
      <c r="BG101" s="52">
        <v>782.2287705</v>
      </c>
      <c r="BH101" s="52">
        <v>4182.9438588134399</v>
      </c>
      <c r="BI101" s="52">
        <v>336.89513176431001</v>
      </c>
      <c r="BJ101" s="53">
        <v>145672.96263470128</v>
      </c>
      <c r="BL101" s="15">
        <v>5.04</v>
      </c>
      <c r="BM101" s="12"/>
      <c r="BN101" s="15">
        <v>5.28</v>
      </c>
      <c r="BO101" s="12"/>
      <c r="BP101" s="15">
        <v>5.4</v>
      </c>
      <c r="BQ101" s="12"/>
      <c r="BR101" s="15">
        <v>5.88</v>
      </c>
      <c r="BS101" s="9"/>
    </row>
    <row r="102" spans="1:73" x14ac:dyDescent="0.2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3">
        <v>20803.212131668399</v>
      </c>
      <c r="AN102" s="52">
        <v>64414.525500000003</v>
      </c>
      <c r="AO102" s="52">
        <v>51872.605427106202</v>
      </c>
      <c r="AP102" s="52">
        <v>34012.000134108872</v>
      </c>
      <c r="AQ102" s="52">
        <v>17860.60529299733</v>
      </c>
      <c r="AR102" s="52">
        <v>12472.018097965451</v>
      </c>
      <c r="AS102" s="52">
        <v>69.901974928348181</v>
      </c>
      <c r="AT102" s="52">
        <v>3356.1350000000002</v>
      </c>
      <c r="AU102" s="52">
        <v>12862.8901362657</v>
      </c>
      <c r="AV102" s="52">
        <v>529.31235435200006</v>
      </c>
      <c r="AW102" s="52">
        <v>12542.6411085661</v>
      </c>
      <c r="AX102" s="52">
        <v>42.821590877373097</v>
      </c>
      <c r="AY102" s="53">
        <v>89380.61242284262</v>
      </c>
      <c r="AZ102" s="52">
        <v>9543.2933327749997</v>
      </c>
      <c r="BA102" s="52">
        <v>11320.062708744001</v>
      </c>
      <c r="BB102" s="52">
        <v>13232.230390045001</v>
      </c>
      <c r="BC102" s="52">
        <v>1080.914</v>
      </c>
      <c r="BD102" s="52">
        <v>167.3743365</v>
      </c>
      <c r="BE102" s="52">
        <v>17938.027262</v>
      </c>
      <c r="BF102" s="52">
        <v>8086.6716218500296</v>
      </c>
      <c r="BG102" s="52">
        <v>793.356855</v>
      </c>
      <c r="BH102" s="52">
        <v>4540.55607987438</v>
      </c>
      <c r="BI102" s="52">
        <v>334.26365814146902</v>
      </c>
      <c r="BJ102" s="53">
        <v>146667.72319174081</v>
      </c>
      <c r="BL102" s="15">
        <v>4.68</v>
      </c>
      <c r="BM102" s="12"/>
      <c r="BN102" s="15">
        <v>4.8</v>
      </c>
      <c r="BO102" s="12"/>
      <c r="BP102" s="15">
        <v>4.92</v>
      </c>
      <c r="BQ102" s="12"/>
      <c r="BR102" s="15">
        <v>5.88</v>
      </c>
      <c r="BS102" s="9"/>
    </row>
    <row r="103" spans="1:73" x14ac:dyDescent="0.2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3">
        <v>22111.893</v>
      </c>
      <c r="AN103" s="52">
        <v>64506.849000000002</v>
      </c>
      <c r="AO103" s="52">
        <v>51870.461434190656</v>
      </c>
      <c r="AP103" s="52">
        <v>33346.652073982426</v>
      </c>
      <c r="AQ103" s="52">
        <v>18523.80936020823</v>
      </c>
      <c r="AR103" s="52">
        <v>12530.690385192664</v>
      </c>
      <c r="AS103" s="52">
        <v>105.69718061668136</v>
      </c>
      <c r="AT103" s="52">
        <v>3345.5680000000002</v>
      </c>
      <c r="AU103" s="52">
        <v>12513.9210008645</v>
      </c>
      <c r="AV103" s="52">
        <v>533.95150133725997</v>
      </c>
      <c r="AW103" s="52">
        <v>11940.188061300199</v>
      </c>
      <c r="AX103" s="52">
        <v>41.971099067753002</v>
      </c>
      <c r="AY103" s="53">
        <v>91030.023341833803</v>
      </c>
      <c r="AZ103" s="52">
        <v>9628.8050000000003</v>
      </c>
      <c r="BA103" s="52">
        <v>10362.365</v>
      </c>
      <c r="BB103" s="52">
        <v>13167.666999999999</v>
      </c>
      <c r="BC103" s="52">
        <v>993.77200000000005</v>
      </c>
      <c r="BD103" s="52">
        <v>176.29989850000001</v>
      </c>
      <c r="BE103" s="52">
        <v>17974.284245999999</v>
      </c>
      <c r="BF103" s="52">
        <v>8280.1243622934398</v>
      </c>
      <c r="BG103" s="52">
        <v>796.01428850000002</v>
      </c>
      <c r="BH103" s="52">
        <v>4638.7501457854296</v>
      </c>
      <c r="BI103" s="52">
        <v>329.455956486307</v>
      </c>
      <c r="BJ103" s="53">
        <v>147441.14903485551</v>
      </c>
      <c r="BL103" s="15">
        <v>4.5599999999999996</v>
      </c>
      <c r="BM103" s="12"/>
      <c r="BN103" s="15">
        <v>4.8</v>
      </c>
      <c r="BO103" s="12"/>
      <c r="BP103" s="15">
        <v>5.16</v>
      </c>
      <c r="BQ103" s="12"/>
      <c r="BR103" s="15">
        <v>5.88</v>
      </c>
      <c r="BS103" s="9"/>
    </row>
    <row r="104" spans="1:73" x14ac:dyDescent="0.2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3">
        <v>22353.752700000001</v>
      </c>
      <c r="AN104" s="52">
        <v>65180.911</v>
      </c>
      <c r="AO104" s="52">
        <v>52412.543166483018</v>
      </c>
      <c r="AP104" s="52">
        <v>33619.155108416046</v>
      </c>
      <c r="AQ104" s="52">
        <v>18793.388058066972</v>
      </c>
      <c r="AR104" s="52">
        <v>12634.819594403563</v>
      </c>
      <c r="AS104" s="52">
        <v>133.54823911342444</v>
      </c>
      <c r="AT104" s="52">
        <v>3353.6260000000002</v>
      </c>
      <c r="AU104" s="52">
        <v>12347.781389333901</v>
      </c>
      <c r="AV104" s="52">
        <v>547.08967683751996</v>
      </c>
      <c r="AW104" s="52">
        <v>11691.0238114109</v>
      </c>
      <c r="AX104" s="52">
        <v>39.2157802729335</v>
      </c>
      <c r="AY104" s="53">
        <v>92052.921174487594</v>
      </c>
      <c r="AZ104" s="52">
        <v>9790.4730231730391</v>
      </c>
      <c r="BA104" s="52">
        <v>9793.5459992923606</v>
      </c>
      <c r="BB104" s="52">
        <v>12909.165613864499</v>
      </c>
      <c r="BC104" s="52">
        <v>900.92899999999997</v>
      </c>
      <c r="BD104" s="52">
        <v>186.35172750000001</v>
      </c>
      <c r="BE104" s="52">
        <v>18178.545945499998</v>
      </c>
      <c r="BF104" s="52">
        <v>8505.9354400214997</v>
      </c>
      <c r="BG104" s="52">
        <v>795.096631</v>
      </c>
      <c r="BH104" s="52">
        <v>4766.2168102612004</v>
      </c>
      <c r="BI104" s="52">
        <v>335.50887176672398</v>
      </c>
      <c r="BJ104" s="53">
        <v>148011.23887281108</v>
      </c>
      <c r="BL104" s="15">
        <v>4.4400000000000004</v>
      </c>
      <c r="BM104" s="12">
        <v>9300.39</v>
      </c>
      <c r="BN104" s="15">
        <v>4.5599999999999996</v>
      </c>
      <c r="BO104" s="12">
        <v>3429.64</v>
      </c>
      <c r="BP104" s="15">
        <v>4.8</v>
      </c>
      <c r="BQ104" s="12">
        <v>993.41</v>
      </c>
      <c r="BR104" s="15"/>
      <c r="BS104" s="9"/>
    </row>
    <row r="105" spans="1:73" x14ac:dyDescent="0.2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3">
        <v>22108.398000000001</v>
      </c>
      <c r="AN105" s="52">
        <v>65782.934999999998</v>
      </c>
      <c r="AO105" s="52">
        <v>52808.848039773533</v>
      </c>
      <c r="AP105" s="52">
        <v>34107.833744594871</v>
      </c>
      <c r="AQ105" s="52">
        <v>18701.014295178658</v>
      </c>
      <c r="AR105" s="52">
        <v>12828.796724706353</v>
      </c>
      <c r="AS105" s="52">
        <v>145.29023552012305</v>
      </c>
      <c r="AT105" s="52">
        <v>3372.81</v>
      </c>
      <c r="AU105" s="52">
        <v>12632.765367702301</v>
      </c>
      <c r="AV105" s="52">
        <v>560.38664849407996</v>
      </c>
      <c r="AW105" s="52">
        <v>11963.842543008799</v>
      </c>
      <c r="AX105" s="52">
        <v>40.674832719910498</v>
      </c>
      <c r="AY105" s="53">
        <v>92452.77764046767</v>
      </c>
      <c r="AZ105" s="52">
        <v>10309.054</v>
      </c>
      <c r="BA105" s="52">
        <v>10897.807000000001</v>
      </c>
      <c r="BB105" s="52">
        <v>13093.852999999999</v>
      </c>
      <c r="BC105" s="52">
        <v>918.096</v>
      </c>
      <c r="BD105" s="52">
        <v>185.551322</v>
      </c>
      <c r="BE105" s="52">
        <v>18294.093463000001</v>
      </c>
      <c r="BF105" s="52">
        <v>9002.9084575039797</v>
      </c>
      <c r="BG105" s="52">
        <v>807.37833049999995</v>
      </c>
      <c r="BH105" s="52">
        <v>5185.0236207770704</v>
      </c>
      <c r="BI105" s="52">
        <v>345.490712376668</v>
      </c>
      <c r="BJ105" s="53">
        <v>150431.00488031792</v>
      </c>
      <c r="BL105" s="15">
        <v>4.2</v>
      </c>
      <c r="BM105" s="12">
        <v>7720.18</v>
      </c>
      <c r="BN105" s="15">
        <v>4.4400000000000004</v>
      </c>
      <c r="BO105" s="12">
        <v>2401.89</v>
      </c>
      <c r="BP105" s="15">
        <v>4.68</v>
      </c>
      <c r="BQ105" s="12">
        <v>536.78</v>
      </c>
      <c r="BR105" s="15">
        <v>3.84</v>
      </c>
      <c r="BS105" s="9">
        <v>0.01</v>
      </c>
    </row>
    <row r="106" spans="1:73" x14ac:dyDescent="0.2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3">
        <v>22173.650952381002</v>
      </c>
      <c r="AN106" s="52">
        <v>65792.729500000016</v>
      </c>
      <c r="AO106" s="52">
        <v>52722.708928003143</v>
      </c>
      <c r="AP106" s="52">
        <v>34238.741224472855</v>
      </c>
      <c r="AQ106" s="52">
        <v>18483.967703530281</v>
      </c>
      <c r="AR106" s="52">
        <v>12917.418291075588</v>
      </c>
      <c r="AS106" s="52">
        <v>152.60228092127744</v>
      </c>
      <c r="AT106" s="52">
        <v>3402.75</v>
      </c>
      <c r="AU106" s="52">
        <v>11578.969282198001</v>
      </c>
      <c r="AV106" s="52">
        <v>566.44828511429</v>
      </c>
      <c r="AW106" s="52">
        <v>10994.5030017179</v>
      </c>
      <c r="AX106" s="52">
        <v>41.761807378498197</v>
      </c>
      <c r="AY106" s="53">
        <v>92478.283210596914</v>
      </c>
      <c r="AZ106" s="52">
        <v>10474.8540624334</v>
      </c>
      <c r="BA106" s="52">
        <v>11101.5701415535</v>
      </c>
      <c r="BB106" s="52">
        <v>13085.5192111867</v>
      </c>
      <c r="BC106" s="52">
        <v>899.89700000000005</v>
      </c>
      <c r="BD106" s="52">
        <v>176.063963</v>
      </c>
      <c r="BE106" s="52">
        <v>18296.767180999999</v>
      </c>
      <c r="BF106" s="52">
        <v>9691.9700980371508</v>
      </c>
      <c r="BG106" s="52">
        <v>823.80522199999996</v>
      </c>
      <c r="BH106" s="52">
        <v>5466.5025693444204</v>
      </c>
      <c r="BI106" s="52">
        <v>351.39728863163901</v>
      </c>
      <c r="BJ106" s="53">
        <v>151210.83023183158</v>
      </c>
      <c r="BL106" s="15">
        <v>4.08</v>
      </c>
      <c r="BM106" s="12">
        <v>9448.66</v>
      </c>
      <c r="BN106" s="15">
        <v>4.08</v>
      </c>
      <c r="BO106" s="12">
        <v>3099.97</v>
      </c>
      <c r="BP106" s="15">
        <v>4.32</v>
      </c>
      <c r="BQ106" s="12">
        <v>808.07</v>
      </c>
      <c r="BR106" s="15">
        <v>3.72</v>
      </c>
      <c r="BS106" s="9">
        <v>0.01</v>
      </c>
    </row>
    <row r="107" spans="1:73" x14ac:dyDescent="0.2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3">
        <v>22599.43475</v>
      </c>
      <c r="AN107" s="52">
        <v>65189.604000000007</v>
      </c>
      <c r="AO107" s="52">
        <v>51847.998511761885</v>
      </c>
      <c r="AP107" s="52">
        <v>33749.296471683898</v>
      </c>
      <c r="AQ107" s="52">
        <v>18098.702040077991</v>
      </c>
      <c r="AR107" s="52">
        <v>13180.93253268122</v>
      </c>
      <c r="AS107" s="52">
        <v>160.67295555689799</v>
      </c>
      <c r="AT107" s="52">
        <v>3434.453</v>
      </c>
      <c r="AU107" s="52">
        <v>11800.6315233307</v>
      </c>
      <c r="AV107" s="52">
        <v>570.738394323075</v>
      </c>
      <c r="AW107" s="52">
        <v>11068.4047286814</v>
      </c>
      <c r="AX107" s="52">
        <v>41.369013704050502</v>
      </c>
      <c r="AY107" s="53">
        <v>92485.087925268323</v>
      </c>
      <c r="AZ107" s="52">
        <v>10962.5113115</v>
      </c>
      <c r="BA107" s="52">
        <v>11030.3386955275</v>
      </c>
      <c r="BB107" s="52">
        <v>13065.093216446699</v>
      </c>
      <c r="BC107" s="52">
        <v>877.83500000000004</v>
      </c>
      <c r="BD107" s="52">
        <v>181.6311015</v>
      </c>
      <c r="BE107" s="52">
        <v>18190.367314499999</v>
      </c>
      <c r="BF107" s="52">
        <v>10463.299053668899</v>
      </c>
      <c r="BG107" s="52">
        <v>839.36859600000003</v>
      </c>
      <c r="BH107" s="52">
        <v>5942.6437582102499</v>
      </c>
      <c r="BI107" s="52">
        <v>358.34232268699799</v>
      </c>
      <c r="BJ107" s="53">
        <v>151794.54613351417</v>
      </c>
      <c r="BL107" s="15">
        <v>3.96</v>
      </c>
      <c r="BM107" s="12">
        <v>8907.43</v>
      </c>
      <c r="BN107" s="15">
        <v>3.96</v>
      </c>
      <c r="BO107" s="12">
        <v>3031.67</v>
      </c>
      <c r="BP107" s="15">
        <v>4.4400000000000004</v>
      </c>
      <c r="BQ107" s="12">
        <v>923.71</v>
      </c>
      <c r="BR107" s="15">
        <v>3.48</v>
      </c>
      <c r="BS107" s="9">
        <v>0.01</v>
      </c>
      <c r="BT107" s="6"/>
      <c r="BU107" s="6"/>
    </row>
    <row r="108" spans="1:73" x14ac:dyDescent="0.2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3">
        <v>22915.375654761898</v>
      </c>
      <c r="AN108" s="52">
        <v>64416.857499999998</v>
      </c>
      <c r="AO108" s="52">
        <v>50624.147035297436</v>
      </c>
      <c r="AP108" s="52">
        <v>32626.344149507859</v>
      </c>
      <c r="AQ108" s="52">
        <v>17997.802885789581</v>
      </c>
      <c r="AR108" s="52">
        <v>13625.759280857108</v>
      </c>
      <c r="AS108" s="52">
        <v>166.95118384546262</v>
      </c>
      <c r="AT108" s="52">
        <v>3477.1849999999999</v>
      </c>
      <c r="AU108" s="52">
        <v>13061.713606981501</v>
      </c>
      <c r="AV108" s="52">
        <v>576.27328310256996</v>
      </c>
      <c r="AW108" s="52">
        <v>11996.698264963999</v>
      </c>
      <c r="AX108" s="52">
        <v>41.774759136952802</v>
      </c>
      <c r="AY108" s="53">
        <v>92408.932020745022</v>
      </c>
      <c r="AZ108" s="52">
        <v>11531.504837805</v>
      </c>
      <c r="BA108" s="52">
        <v>11528.681084994299</v>
      </c>
      <c r="BB108" s="52">
        <v>13402.515347715</v>
      </c>
      <c r="BC108" s="52">
        <v>1226.1489999999999</v>
      </c>
      <c r="BD108" s="52">
        <v>187.93015800000001</v>
      </c>
      <c r="BE108" s="52">
        <v>18192.795905999999</v>
      </c>
      <c r="BF108" s="52">
        <v>11306.6236713744</v>
      </c>
      <c r="BG108" s="52">
        <v>859.18684949999999</v>
      </c>
      <c r="BH108" s="52">
        <v>6551.4383865954997</v>
      </c>
      <c r="BI108" s="52">
        <v>364.90347089946698</v>
      </c>
      <c r="BJ108" s="53">
        <v>153727.97701863875</v>
      </c>
      <c r="BL108" s="15">
        <v>3.96</v>
      </c>
      <c r="BM108" s="12">
        <v>8423.9</v>
      </c>
      <c r="BN108" s="15">
        <v>4.08</v>
      </c>
      <c r="BO108" s="12">
        <v>2657.56</v>
      </c>
      <c r="BP108" s="15">
        <v>4.32</v>
      </c>
      <c r="BQ108" s="12">
        <v>632.86</v>
      </c>
      <c r="BR108" s="15">
        <v>3.96</v>
      </c>
      <c r="BS108" s="9">
        <v>0.01</v>
      </c>
      <c r="BT108" s="6"/>
      <c r="BU108" s="6"/>
    </row>
    <row r="109" spans="1:73" x14ac:dyDescent="0.2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3">
        <v>23133.149949999999</v>
      </c>
      <c r="AN109" s="52">
        <v>64522.267</v>
      </c>
      <c r="AO109" s="52">
        <v>50219.102284954177</v>
      </c>
      <c r="AP109" s="52">
        <v>32058.452992376864</v>
      </c>
      <c r="AQ109" s="52">
        <v>18160.649292577309</v>
      </c>
      <c r="AR109" s="52">
        <v>14132.945288273932</v>
      </c>
      <c r="AS109" s="52">
        <v>170.21942677189108</v>
      </c>
      <c r="AT109" s="52">
        <v>3525.183</v>
      </c>
      <c r="AU109" s="52">
        <v>11618.2261980313</v>
      </c>
      <c r="AV109" s="52">
        <v>579.24090378999495</v>
      </c>
      <c r="AW109" s="52">
        <v>10680.2541400216</v>
      </c>
      <c r="AX109" s="52">
        <v>43.951848460188202</v>
      </c>
      <c r="AY109" s="53">
        <v>92653.861063339515</v>
      </c>
      <c r="AZ109" s="52">
        <v>11357.527</v>
      </c>
      <c r="BA109" s="52">
        <v>11247.934999999999</v>
      </c>
      <c r="BB109" s="52">
        <v>13809.134</v>
      </c>
      <c r="BC109" s="52">
        <v>1460.0530000000001</v>
      </c>
      <c r="BD109" s="52">
        <v>182.6638925</v>
      </c>
      <c r="BE109" s="52">
        <v>18311.7802405</v>
      </c>
      <c r="BF109" s="52">
        <v>12122.1629747729</v>
      </c>
      <c r="BG109" s="52">
        <v>877.42279699999995</v>
      </c>
      <c r="BH109" s="52">
        <v>6737.7428226418197</v>
      </c>
      <c r="BI109" s="52">
        <v>368.14841856365399</v>
      </c>
      <c r="BJ109" s="53">
        <v>154916.64872690698</v>
      </c>
      <c r="BL109" s="15">
        <v>3.96</v>
      </c>
      <c r="BM109" s="12">
        <v>8168.76</v>
      </c>
      <c r="BN109" s="15">
        <v>4.2</v>
      </c>
      <c r="BO109" s="12">
        <v>2687.11</v>
      </c>
      <c r="BP109" s="15">
        <v>4.4400000000000004</v>
      </c>
      <c r="BQ109" s="12">
        <v>812.44</v>
      </c>
      <c r="BR109" s="15">
        <v>4.68</v>
      </c>
      <c r="BS109" s="9">
        <v>0.06</v>
      </c>
      <c r="BT109" s="6"/>
      <c r="BU109" s="6"/>
    </row>
    <row r="110" spans="1:73" x14ac:dyDescent="0.2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3">
        <v>22930.28357045455</v>
      </c>
      <c r="AN110" s="52">
        <v>65535.362000000008</v>
      </c>
      <c r="AO110" s="52">
        <v>50980.574375814467</v>
      </c>
      <c r="AP110" s="52">
        <v>32430.85152532459</v>
      </c>
      <c r="AQ110" s="52">
        <v>18549.722850489878</v>
      </c>
      <c r="AR110" s="52">
        <v>14373.777758821161</v>
      </c>
      <c r="AS110" s="52">
        <v>181.00986536437756</v>
      </c>
      <c r="AT110" s="52">
        <v>3583.2460000000001</v>
      </c>
      <c r="AU110" s="52">
        <v>10195.743891837001</v>
      </c>
      <c r="AV110" s="52">
        <v>578.57724146329997</v>
      </c>
      <c r="AW110" s="52">
        <v>9364.2513979899504</v>
      </c>
      <c r="AX110" s="52">
        <v>47.3518632761688</v>
      </c>
      <c r="AY110" s="53">
        <v>93411.609442488741</v>
      </c>
      <c r="AZ110" s="52">
        <v>11362.423076845</v>
      </c>
      <c r="BA110" s="52">
        <v>10767.750514732201</v>
      </c>
      <c r="BB110" s="52">
        <v>14046.022379945</v>
      </c>
      <c r="BC110" s="52">
        <v>1050.223</v>
      </c>
      <c r="BD110" s="52">
        <v>173.86779799999999</v>
      </c>
      <c r="BE110" s="52">
        <v>18397.320626000001</v>
      </c>
      <c r="BF110" s="52">
        <v>12841.6417103029</v>
      </c>
      <c r="BG110" s="52">
        <v>902.99983450000002</v>
      </c>
      <c r="BH110" s="52">
        <v>6913.0553691096402</v>
      </c>
      <c r="BI110" s="52">
        <v>371.89973105037598</v>
      </c>
      <c r="BJ110" s="53">
        <v>155668.90328265383</v>
      </c>
      <c r="BL110" s="15">
        <v>3.96</v>
      </c>
      <c r="BM110" s="12">
        <v>8824.2999999999993</v>
      </c>
      <c r="BN110" s="15">
        <v>3.96</v>
      </c>
      <c r="BO110" s="12">
        <v>3262.48</v>
      </c>
      <c r="BP110" s="15">
        <v>4.32</v>
      </c>
      <c r="BQ110" s="12">
        <v>963.04</v>
      </c>
      <c r="BR110" s="15">
        <v>3.12</v>
      </c>
      <c r="BS110" s="9">
        <v>0.12</v>
      </c>
      <c r="BT110" s="6"/>
      <c r="BU110" s="6"/>
    </row>
    <row r="111" spans="1:73" x14ac:dyDescent="0.2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3">
        <v>22619.5097675</v>
      </c>
      <c r="AN111" s="52">
        <v>66249.885500000004</v>
      </c>
      <c r="AO111" s="52">
        <v>51503.40519933858</v>
      </c>
      <c r="AP111" s="52">
        <v>32601.324701895745</v>
      </c>
      <c r="AQ111" s="52">
        <v>18902.080497442836</v>
      </c>
      <c r="AR111" s="52">
        <v>14514.457815740921</v>
      </c>
      <c r="AS111" s="52">
        <v>232.0224849204923</v>
      </c>
      <c r="AT111" s="52">
        <v>3557.9009999999998</v>
      </c>
      <c r="AU111" s="52">
        <v>10125.504438403001</v>
      </c>
      <c r="AV111" s="52">
        <v>580.98044524049999</v>
      </c>
      <c r="AW111" s="52">
        <v>9296.5690458825593</v>
      </c>
      <c r="AX111" s="52">
        <v>47.312533043531801</v>
      </c>
      <c r="AY111" s="53">
        <v>93789.899572217415</v>
      </c>
      <c r="AZ111" s="52">
        <v>11740.023810344999</v>
      </c>
      <c r="BA111" s="52">
        <v>10785.4973470241</v>
      </c>
      <c r="BB111" s="52">
        <v>14195.3027038665</v>
      </c>
      <c r="BC111" s="52">
        <v>1037.117</v>
      </c>
      <c r="BD111" s="52">
        <v>158.60780349999999</v>
      </c>
      <c r="BE111" s="52">
        <v>18474.578635499998</v>
      </c>
      <c r="BF111" s="52">
        <v>13840.9201321525</v>
      </c>
      <c r="BG111" s="52">
        <v>939.1599185</v>
      </c>
      <c r="BH111" s="52">
        <v>7451.8913631327996</v>
      </c>
      <c r="BI111" s="52">
        <v>379.30087172404598</v>
      </c>
      <c r="BJ111" s="53">
        <v>157129.91468824865</v>
      </c>
      <c r="BL111" s="15">
        <v>3.6</v>
      </c>
      <c r="BM111" s="12">
        <v>7757.09</v>
      </c>
      <c r="BN111" s="15">
        <v>3.6</v>
      </c>
      <c r="BO111" s="12">
        <v>3134.47</v>
      </c>
      <c r="BP111" s="15">
        <v>3.72</v>
      </c>
      <c r="BQ111" s="12">
        <v>779.25</v>
      </c>
      <c r="BR111" s="15">
        <v>4.08</v>
      </c>
      <c r="BS111" s="9">
        <v>10.01</v>
      </c>
      <c r="BT111" s="6"/>
      <c r="BU111" s="6"/>
    </row>
    <row r="112" spans="1:73" x14ac:dyDescent="0.2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3">
        <v>23249.812999999998</v>
      </c>
      <c r="AN112" s="52">
        <v>66266.082999999999</v>
      </c>
      <c r="AO112" s="52">
        <v>51286.505114853098</v>
      </c>
      <c r="AP112" s="52">
        <v>32336.793318186614</v>
      </c>
      <c r="AQ112" s="52">
        <v>18949.711796666485</v>
      </c>
      <c r="AR112" s="52">
        <v>14698.590326742476</v>
      </c>
      <c r="AS112" s="52">
        <v>280.98755840442556</v>
      </c>
      <c r="AT112" s="52">
        <v>3571.933</v>
      </c>
      <c r="AU112" s="52">
        <v>10315.978404314201</v>
      </c>
      <c r="AV112" s="52">
        <v>585.78126963269995</v>
      </c>
      <c r="AW112" s="52">
        <v>9567.0776713781106</v>
      </c>
      <c r="AX112" s="52">
        <v>46.6326859140026</v>
      </c>
      <c r="AY112" s="53">
        <v>94375.87831665478</v>
      </c>
      <c r="AZ112" s="52">
        <v>12239.687</v>
      </c>
      <c r="BA112" s="52">
        <v>10599.540999999999</v>
      </c>
      <c r="BB112" s="52">
        <v>14604.148999999999</v>
      </c>
      <c r="BC112" s="52">
        <v>1108.2570000000001</v>
      </c>
      <c r="BD112" s="52">
        <v>141.70561499999999</v>
      </c>
      <c r="BE112" s="52">
        <v>18568.049824500002</v>
      </c>
      <c r="BF112" s="52">
        <v>14025.238188035701</v>
      </c>
      <c r="BG112" s="52">
        <v>959.47857850000003</v>
      </c>
      <c r="BH112" s="52">
        <v>7661.0784545267998</v>
      </c>
      <c r="BI112" s="52">
        <v>381.39194440169803</v>
      </c>
      <c r="BJ112" s="53">
        <v>158579.51412376197</v>
      </c>
      <c r="BL112" s="15">
        <v>3.48</v>
      </c>
      <c r="BM112" s="12">
        <v>9017.58</v>
      </c>
      <c r="BN112" s="15">
        <v>3.36</v>
      </c>
      <c r="BO112" s="12">
        <v>2822.52</v>
      </c>
      <c r="BP112" s="15">
        <v>3.6</v>
      </c>
      <c r="BQ112" s="12">
        <v>821.76</v>
      </c>
      <c r="BR112" s="15">
        <v>4.8</v>
      </c>
      <c r="BS112" s="9">
        <v>0.14000000000000001</v>
      </c>
      <c r="BT112" s="6"/>
      <c r="BU112" s="6"/>
    </row>
    <row r="113" spans="1:73" x14ac:dyDescent="0.2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3">
        <v>22820.618999999999</v>
      </c>
      <c r="AN113" s="52">
        <v>66838.03899999999</v>
      </c>
      <c r="AO113" s="52">
        <v>51795.279206293482</v>
      </c>
      <c r="AP113" s="52">
        <v>32763.157676473162</v>
      </c>
      <c r="AQ113" s="52">
        <v>19032.121529820324</v>
      </c>
      <c r="AR113" s="52">
        <v>14760.136701563799</v>
      </c>
      <c r="AS113" s="52">
        <v>282.62309214272273</v>
      </c>
      <c r="AT113" s="52">
        <v>3599.4720000000002</v>
      </c>
      <c r="AU113" s="52">
        <v>11948.004880783201</v>
      </c>
      <c r="AV113" s="52">
        <v>592.42963044159501</v>
      </c>
      <c r="AW113" s="52">
        <v>11080.325806491001</v>
      </c>
      <c r="AX113" s="52">
        <v>47.581217146020897</v>
      </c>
      <c r="AY113" s="53">
        <v>94670.65748758777</v>
      </c>
      <c r="AZ113" s="52">
        <v>12176.286</v>
      </c>
      <c r="BA113" s="52">
        <v>10892.788</v>
      </c>
      <c r="BB113" s="52">
        <v>14768.473</v>
      </c>
      <c r="BC113" s="52">
        <v>962.39599999999996</v>
      </c>
      <c r="BD113" s="52">
        <v>139.3263925</v>
      </c>
      <c r="BE113" s="52">
        <v>18576.105361499998</v>
      </c>
      <c r="BF113" s="52">
        <v>13029.7133484519</v>
      </c>
      <c r="BG113" s="52">
        <v>954.71518200000003</v>
      </c>
      <c r="BH113" s="52">
        <v>7294.5744955711398</v>
      </c>
      <c r="BI113" s="52">
        <v>380.26108528444598</v>
      </c>
      <c r="BJ113" s="53">
        <v>158495.62519118408</v>
      </c>
      <c r="BL113" s="15">
        <v>3.6</v>
      </c>
      <c r="BM113" s="12">
        <v>9399.98</v>
      </c>
      <c r="BN113" s="15">
        <v>3.48</v>
      </c>
      <c r="BO113" s="12">
        <v>3280.31</v>
      </c>
      <c r="BP113" s="15">
        <v>3.84</v>
      </c>
      <c r="BQ113" s="12">
        <v>581.77</v>
      </c>
      <c r="BR113" s="15">
        <v>5.16</v>
      </c>
      <c r="BS113" s="9">
        <v>0.09</v>
      </c>
      <c r="BT113" s="6"/>
      <c r="BU113" s="6"/>
    </row>
    <row r="114" spans="1:73" x14ac:dyDescent="0.2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3">
        <v>23961.797749999998</v>
      </c>
      <c r="AN114" s="52">
        <v>68224.428499999995</v>
      </c>
      <c r="AO114" s="52">
        <v>52961.982789418435</v>
      </c>
      <c r="AP114" s="52">
        <v>34281.023012175268</v>
      </c>
      <c r="AQ114" s="52">
        <v>18680.959777243163</v>
      </c>
      <c r="AR114" s="52">
        <v>14976.156179649432</v>
      </c>
      <c r="AS114" s="52">
        <v>286.2895309321255</v>
      </c>
      <c r="AT114" s="52">
        <v>3627.8760000000002</v>
      </c>
      <c r="AU114" s="52">
        <v>12672.883791087101</v>
      </c>
      <c r="AV114" s="52">
        <v>596.61915881940502</v>
      </c>
      <c r="AW114" s="52">
        <v>11731.4362506694</v>
      </c>
      <c r="AX114" s="52">
        <v>47.9557239493369</v>
      </c>
      <c r="AY114" s="53">
        <v>97304.213225287764</v>
      </c>
      <c r="AZ114" s="52">
        <v>12254.1620595</v>
      </c>
      <c r="BA114" s="52">
        <v>10275.042789728301</v>
      </c>
      <c r="BB114" s="52">
        <v>14985.445815646999</v>
      </c>
      <c r="BC114" s="52">
        <v>879.59</v>
      </c>
      <c r="BD114" s="52">
        <v>143.96886850000001</v>
      </c>
      <c r="BE114" s="52">
        <v>18583.103633999999</v>
      </c>
      <c r="BF114" s="52">
        <v>12798.3413903126</v>
      </c>
      <c r="BG114" s="52">
        <v>968.29707980201795</v>
      </c>
      <c r="BH114" s="52">
        <v>7057.4914770034002</v>
      </c>
      <c r="BI114" s="52">
        <v>381.02492016715303</v>
      </c>
      <c r="BJ114" s="53">
        <v>160753.64846560711</v>
      </c>
      <c r="BL114" s="15">
        <v>3.48</v>
      </c>
      <c r="BM114" s="12">
        <v>9032.11</v>
      </c>
      <c r="BN114" s="15">
        <v>3.6</v>
      </c>
      <c r="BO114" s="12">
        <v>3814.51</v>
      </c>
      <c r="BP114" s="15">
        <v>3.84</v>
      </c>
      <c r="BQ114" s="12">
        <v>643.58000000000004</v>
      </c>
      <c r="BR114" s="15">
        <v>4.68</v>
      </c>
      <c r="BS114" s="9">
        <v>0.66</v>
      </c>
      <c r="BT114" s="6"/>
      <c r="BU114" s="6"/>
    </row>
    <row r="115" spans="1:73" x14ac:dyDescent="0.2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3">
        <v>25490.818299999999</v>
      </c>
      <c r="AN115" s="52">
        <v>69242.271999999997</v>
      </c>
      <c r="AO115" s="52">
        <v>53650.49356931034</v>
      </c>
      <c r="AP115" s="52">
        <v>35243.954608932763</v>
      </c>
      <c r="AQ115" s="52">
        <v>18406.53896037758</v>
      </c>
      <c r="AR115" s="52">
        <v>15277.278496028779</v>
      </c>
      <c r="AS115" s="52">
        <v>314.49993466088472</v>
      </c>
      <c r="AT115" s="52">
        <v>3636.7249999999999</v>
      </c>
      <c r="AU115" s="52">
        <v>12662.707433810299</v>
      </c>
      <c r="AV115" s="52">
        <v>599.56342408854005</v>
      </c>
      <c r="AW115" s="52">
        <v>11862.829294818701</v>
      </c>
      <c r="AX115" s="52">
        <v>47.872794203369502</v>
      </c>
      <c r="AY115" s="53">
        <v>99721.384068876767</v>
      </c>
      <c r="AZ115" s="52">
        <v>12683.856487372501</v>
      </c>
      <c r="BA115" s="52">
        <v>9484.9765905942004</v>
      </c>
      <c r="BB115" s="52">
        <v>15401.515945718</v>
      </c>
      <c r="BC115" s="52">
        <v>1136.3009999999999</v>
      </c>
      <c r="BD115" s="52">
        <v>196.92497233</v>
      </c>
      <c r="BE115" s="52">
        <v>18594.186380537001</v>
      </c>
      <c r="BF115" s="52">
        <v>12995.3666057013</v>
      </c>
      <c r="BG115" s="52">
        <v>989.55239900000004</v>
      </c>
      <c r="BH115" s="52">
        <v>6954.3878565168097</v>
      </c>
      <c r="BI115" s="52">
        <v>389.72986529098603</v>
      </c>
      <c r="BJ115" s="53">
        <v>163859.94672832199</v>
      </c>
      <c r="BL115" s="15">
        <v>3.48</v>
      </c>
      <c r="BM115" s="12">
        <v>9397.91</v>
      </c>
      <c r="BN115" s="15">
        <v>3.6</v>
      </c>
      <c r="BO115" s="12">
        <v>3072.63</v>
      </c>
      <c r="BP115" s="15">
        <v>3.84</v>
      </c>
      <c r="BQ115" s="12">
        <v>561.80999999999995</v>
      </c>
      <c r="BR115" s="15">
        <v>3.12</v>
      </c>
      <c r="BS115" s="9">
        <v>0.01</v>
      </c>
      <c r="BT115" s="6"/>
      <c r="BU115" s="6"/>
    </row>
    <row r="116" spans="1:73" x14ac:dyDescent="0.2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3">
        <v>25414.780400996999</v>
      </c>
      <c r="AN116" s="52">
        <v>69418.642500000002</v>
      </c>
      <c r="AO116" s="52">
        <v>53629.738041424411</v>
      </c>
      <c r="AP116" s="52">
        <v>35435.015861075452</v>
      </c>
      <c r="AQ116" s="52">
        <v>18194.722180348963</v>
      </c>
      <c r="AR116" s="52">
        <v>15453.293854089989</v>
      </c>
      <c r="AS116" s="52">
        <v>335.61060448559022</v>
      </c>
      <c r="AT116" s="52">
        <v>3650.973</v>
      </c>
      <c r="AU116" s="52">
        <v>13476.617841077599</v>
      </c>
      <c r="AV116" s="52">
        <v>614.00856720293496</v>
      </c>
      <c r="AW116" s="52">
        <v>12577.7266165694</v>
      </c>
      <c r="AX116" s="52">
        <v>46.773605212071402</v>
      </c>
      <c r="AY116" s="53">
        <v>99950.522087496065</v>
      </c>
      <c r="AZ116" s="52">
        <v>13130.561948500001</v>
      </c>
      <c r="BA116" s="52">
        <v>9589.8665609855707</v>
      </c>
      <c r="BB116" s="52">
        <v>15374.2045710086</v>
      </c>
      <c r="BC116" s="52">
        <v>1083.8879999999999</v>
      </c>
      <c r="BD116" s="52">
        <v>227.24428533</v>
      </c>
      <c r="BE116" s="52">
        <v>18486.3092566675</v>
      </c>
      <c r="BF116" s="52">
        <v>13028.379420965501</v>
      </c>
      <c r="BG116" s="52">
        <v>1004.8061494999999</v>
      </c>
      <c r="BH116" s="52">
        <v>6893.0843811426603</v>
      </c>
      <c r="BI116" s="52">
        <v>403.41056618296102</v>
      </c>
      <c r="BJ116" s="53">
        <v>164579.28733312764</v>
      </c>
      <c r="BL116" s="15">
        <v>3.36</v>
      </c>
      <c r="BM116" s="12">
        <v>9179.32</v>
      </c>
      <c r="BN116" s="15">
        <v>3.24</v>
      </c>
      <c r="BO116" s="12">
        <v>3838.85</v>
      </c>
      <c r="BP116" s="15">
        <v>3.48</v>
      </c>
      <c r="BQ116" s="12">
        <v>464.93</v>
      </c>
      <c r="BR116" s="15">
        <v>5.4</v>
      </c>
      <c r="BS116" s="9">
        <v>0.18</v>
      </c>
      <c r="BT116" s="6"/>
      <c r="BU116" s="6"/>
    </row>
    <row r="117" spans="1:73" x14ac:dyDescent="0.2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3">
        <v>25336.434828940502</v>
      </c>
      <c r="AN117" s="52">
        <v>69137.103499999997</v>
      </c>
      <c r="AO117" s="52">
        <v>53164.405569685878</v>
      </c>
      <c r="AP117" s="52">
        <v>35556.179650328872</v>
      </c>
      <c r="AQ117" s="52">
        <v>17608.22591935701</v>
      </c>
      <c r="AR117" s="52">
        <v>15630.957974229017</v>
      </c>
      <c r="AS117" s="52">
        <v>341.73995608511461</v>
      </c>
      <c r="AT117" s="52">
        <v>3669.6210000000001</v>
      </c>
      <c r="AU117" s="52">
        <v>13464.0676940181</v>
      </c>
      <c r="AV117" s="52">
        <v>632.73463008226497</v>
      </c>
      <c r="AW117" s="52">
        <v>12542.3508806881</v>
      </c>
      <c r="AX117" s="52">
        <v>47.376621599392102</v>
      </c>
      <c r="AY117" s="53">
        <v>99650.234150753371</v>
      </c>
      <c r="AZ117" s="52">
        <v>13338.521599</v>
      </c>
      <c r="BA117" s="52">
        <v>10184.925999999999</v>
      </c>
      <c r="BB117" s="52">
        <v>15739.519</v>
      </c>
      <c r="BC117" s="52">
        <v>940.64700000000005</v>
      </c>
      <c r="BD117" s="52">
        <v>205.20878350000001</v>
      </c>
      <c r="BE117" s="52">
        <v>18399.1589096305</v>
      </c>
      <c r="BF117" s="52">
        <v>13647.401666836</v>
      </c>
      <c r="BG117" s="52">
        <v>1031.045629</v>
      </c>
      <c r="BH117" s="52">
        <v>7096.8060267225401</v>
      </c>
      <c r="BI117" s="52">
        <v>408.11149485549998</v>
      </c>
      <c r="BJ117" s="53">
        <v>165631.74521714184</v>
      </c>
      <c r="BL117" s="15">
        <v>3.24</v>
      </c>
      <c r="BM117" s="12">
        <v>6110.93</v>
      </c>
      <c r="BN117" s="15">
        <v>3.24</v>
      </c>
      <c r="BO117" s="12">
        <v>2277.5500000000002</v>
      </c>
      <c r="BP117" s="15">
        <v>3.6</v>
      </c>
      <c r="BQ117" s="12">
        <v>311.89999999999998</v>
      </c>
      <c r="BR117" s="15">
        <v>5.16</v>
      </c>
      <c r="BS117" s="9">
        <v>10.62</v>
      </c>
      <c r="BT117" s="6"/>
      <c r="BU117" s="6"/>
    </row>
    <row r="118" spans="1:73" x14ac:dyDescent="0.2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3">
        <v>25085.896806357992</v>
      </c>
      <c r="AN118" s="52">
        <v>69548.427500000005</v>
      </c>
      <c r="AO118" s="52">
        <v>53185.372590464911</v>
      </c>
      <c r="AP118" s="52">
        <v>35976.582574764041</v>
      </c>
      <c r="AQ118" s="52">
        <v>17208.790015700866</v>
      </c>
      <c r="AR118" s="52">
        <v>16013.092111546193</v>
      </c>
      <c r="AS118" s="52">
        <v>349.96279798889759</v>
      </c>
      <c r="AT118" s="52">
        <v>3705.5129999999999</v>
      </c>
      <c r="AU118" s="52">
        <v>11904.060621304699</v>
      </c>
      <c r="AV118" s="52">
        <v>641.62364998090504</v>
      </c>
      <c r="AW118" s="52">
        <v>11373.882327675199</v>
      </c>
      <c r="AX118" s="52">
        <v>59.777590697513602</v>
      </c>
      <c r="AY118" s="53">
        <v>99451.8616592709</v>
      </c>
      <c r="AZ118" s="52">
        <v>13055.860279</v>
      </c>
      <c r="BA118" s="52">
        <v>9967.3738718431996</v>
      </c>
      <c r="BB118" s="52">
        <v>15803.281858594501</v>
      </c>
      <c r="BC118" s="52">
        <v>912.9</v>
      </c>
      <c r="BD118" s="52">
        <v>205.72166050000001</v>
      </c>
      <c r="BE118" s="52">
        <v>18278.322478499998</v>
      </c>
      <c r="BF118" s="52">
        <v>14539.252116773299</v>
      </c>
      <c r="BG118" s="52">
        <v>1053.3296700000001</v>
      </c>
      <c r="BH118" s="52">
        <v>7311.2219430954501</v>
      </c>
      <c r="BI118" s="52">
        <v>409.84759040033401</v>
      </c>
      <c r="BJ118" s="53">
        <v>165546.83406098609</v>
      </c>
      <c r="BL118" s="15">
        <v>3.36</v>
      </c>
      <c r="BM118" s="12">
        <v>9471.19</v>
      </c>
      <c r="BN118" s="15">
        <v>3.48</v>
      </c>
      <c r="BO118" s="12">
        <v>3913.4</v>
      </c>
      <c r="BP118" s="15">
        <v>3.72</v>
      </c>
      <c r="BQ118" s="12">
        <v>890.31</v>
      </c>
      <c r="BR118" s="15">
        <v>5.16</v>
      </c>
      <c r="BS118" s="9">
        <v>2.04</v>
      </c>
      <c r="BT118" s="6"/>
      <c r="BU118" s="6"/>
    </row>
    <row r="119" spans="1:73" x14ac:dyDescent="0.2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3">
        <v>25477.494914003761</v>
      </c>
      <c r="AN119" s="52">
        <v>70453.225999999995</v>
      </c>
      <c r="AO119" s="52">
        <v>53808.15764093653</v>
      </c>
      <c r="AP119" s="52">
        <v>36747.944775007738</v>
      </c>
      <c r="AQ119" s="52">
        <v>17060.212865928796</v>
      </c>
      <c r="AR119" s="52">
        <v>16286.211786507609</v>
      </c>
      <c r="AS119" s="52">
        <v>358.85657255585579</v>
      </c>
      <c r="AT119" s="52">
        <v>3747.8679999999999</v>
      </c>
      <c r="AU119" s="52">
        <v>11921.309093418</v>
      </c>
      <c r="AV119" s="52">
        <v>640.16570504571496</v>
      </c>
      <c r="AW119" s="52">
        <v>11498.9514329744</v>
      </c>
      <c r="AX119" s="52">
        <v>73.2845247995959</v>
      </c>
      <c r="AY119" s="53">
        <v>100667.82775469347</v>
      </c>
      <c r="AZ119" s="52">
        <v>12963.291432</v>
      </c>
      <c r="BA119" s="52">
        <v>9746.0585185657601</v>
      </c>
      <c r="BB119" s="52">
        <v>15891.180919594301</v>
      </c>
      <c r="BC119" s="52">
        <v>714.96400000000006</v>
      </c>
      <c r="BD119" s="52">
        <v>201.090092</v>
      </c>
      <c r="BE119" s="52">
        <v>18329.9333195</v>
      </c>
      <c r="BF119" s="52">
        <v>14774.933784999999</v>
      </c>
      <c r="BG119" s="52">
        <v>1072.4199739999999</v>
      </c>
      <c r="BH119" s="52">
        <v>7229.9844421608605</v>
      </c>
      <c r="BI119" s="52">
        <v>412.38811296329101</v>
      </c>
      <c r="BJ119" s="53">
        <v>166719.32724022935</v>
      </c>
      <c r="BL119" s="15">
        <v>3.36</v>
      </c>
      <c r="BM119" s="12">
        <v>10739.23</v>
      </c>
      <c r="BN119" s="15">
        <v>3.6</v>
      </c>
      <c r="BO119" s="12">
        <v>4475.59</v>
      </c>
      <c r="BP119" s="15">
        <v>3.84</v>
      </c>
      <c r="BQ119" s="12">
        <v>751.95</v>
      </c>
      <c r="BR119" s="15">
        <v>4.68</v>
      </c>
      <c r="BS119" s="9">
        <v>2.14</v>
      </c>
      <c r="BT119" s="6"/>
      <c r="BU119" s="6"/>
    </row>
    <row r="120" spans="1:73" x14ac:dyDescent="0.2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3">
        <v>25956.826391510418</v>
      </c>
      <c r="AN120" s="52">
        <v>70801.217000000004</v>
      </c>
      <c r="AO120" s="52">
        <v>53812.240003198553</v>
      </c>
      <c r="AP120" s="52">
        <v>36552.586319516413</v>
      </c>
      <c r="AQ120" s="52">
        <v>17259.65368368214</v>
      </c>
      <c r="AR120" s="52">
        <v>16616.008138823596</v>
      </c>
      <c r="AS120" s="52">
        <v>372.96885797785683</v>
      </c>
      <c r="AT120" s="52">
        <v>3807.3530000000001</v>
      </c>
      <c r="AU120" s="52">
        <v>12193.9973499552</v>
      </c>
      <c r="AV120" s="52">
        <v>634.88592048129999</v>
      </c>
      <c r="AW120" s="52">
        <v>11803.4790792187</v>
      </c>
      <c r="AX120" s="52">
        <v>65.602267329998597</v>
      </c>
      <c r="AY120" s="53">
        <v>101525.19831539823</v>
      </c>
      <c r="AZ120" s="52">
        <v>13209.366979</v>
      </c>
      <c r="BA120" s="52">
        <v>10273.837670286801</v>
      </c>
      <c r="BB120" s="52">
        <v>16652.289609850501</v>
      </c>
      <c r="BC120" s="52">
        <v>670.12400000000002</v>
      </c>
      <c r="BD120" s="52">
        <v>191.9154015</v>
      </c>
      <c r="BE120" s="52">
        <v>18536.231045</v>
      </c>
      <c r="BF120" s="52">
        <v>14600.032634060701</v>
      </c>
      <c r="BG120" s="52">
        <v>1087.14833</v>
      </c>
      <c r="BH120" s="52">
        <v>6884.7159446065598</v>
      </c>
      <c r="BI120" s="52">
        <v>416.97226065814903</v>
      </c>
      <c r="BJ120" s="53">
        <v>169444.45577983154</v>
      </c>
      <c r="BL120" s="15">
        <v>3.48</v>
      </c>
      <c r="BM120" s="12">
        <v>8807.17</v>
      </c>
      <c r="BN120" s="15">
        <v>3.72</v>
      </c>
      <c r="BO120" s="12">
        <v>2848.75</v>
      </c>
      <c r="BP120" s="15">
        <v>3.96</v>
      </c>
      <c r="BQ120" s="12">
        <v>1310.9</v>
      </c>
      <c r="BR120" s="15">
        <v>3.48</v>
      </c>
      <c r="BS120" s="9">
        <v>0.02</v>
      </c>
      <c r="BT120" s="6"/>
      <c r="BU120" s="6"/>
    </row>
    <row r="121" spans="1:73" x14ac:dyDescent="0.2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3">
        <v>26464.691510366949</v>
      </c>
      <c r="AN121" s="52">
        <v>71297.129499999995</v>
      </c>
      <c r="AO121" s="52">
        <v>53766.319429150113</v>
      </c>
      <c r="AP121" s="52">
        <v>36230.92456603903</v>
      </c>
      <c r="AQ121" s="52">
        <v>17535.39486311108</v>
      </c>
      <c r="AR121" s="52">
        <v>17151.912940076796</v>
      </c>
      <c r="AS121" s="52">
        <v>378.89713077309239</v>
      </c>
      <c r="AT121" s="52">
        <v>3874.8209999999999</v>
      </c>
      <c r="AU121" s="52">
        <v>10893.681500000001</v>
      </c>
      <c r="AV121" s="52">
        <v>630.30213379999998</v>
      </c>
      <c r="AW121" s="52">
        <v>10657.81403</v>
      </c>
      <c r="AX121" s="52">
        <v>53.741631810000001</v>
      </c>
      <c r="AY121" s="53">
        <v>102449.06998235693</v>
      </c>
      <c r="AZ121" s="52">
        <v>13138.2933885</v>
      </c>
      <c r="BA121" s="52">
        <v>9618.9835970805707</v>
      </c>
      <c r="BB121" s="52">
        <v>17489.8362370457</v>
      </c>
      <c r="BC121" s="52">
        <v>625.74800000000005</v>
      </c>
      <c r="BD121" s="52">
        <v>188.24907250000001</v>
      </c>
      <c r="BE121" s="52">
        <v>18517.851630000001</v>
      </c>
      <c r="BF121" s="52">
        <v>14818.10757</v>
      </c>
      <c r="BG121" s="52">
        <v>1093.4313239999999</v>
      </c>
      <c r="BH121" s="52">
        <v>6679.9096890000001</v>
      </c>
      <c r="BI121" s="52">
        <v>418.46320429999997</v>
      </c>
      <c r="BJ121" s="53">
        <v>170841.19790818318</v>
      </c>
      <c r="BL121" s="15">
        <v>3.48</v>
      </c>
      <c r="BM121" s="12">
        <v>10244.49</v>
      </c>
      <c r="BN121" s="15">
        <v>3.72</v>
      </c>
      <c r="BO121" s="12">
        <v>3624.96</v>
      </c>
      <c r="BP121" s="15">
        <v>3.96</v>
      </c>
      <c r="BQ121" s="12">
        <v>1191.78</v>
      </c>
      <c r="BR121" s="57"/>
      <c r="BS121" s="9"/>
      <c r="BU121" s="6"/>
    </row>
    <row r="122" spans="1:73" x14ac:dyDescent="0.2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3">
        <v>26302.955197208594</v>
      </c>
      <c r="AN122" s="52">
        <v>72876.937999999995</v>
      </c>
      <c r="AO122" s="52">
        <v>54830.807456346636</v>
      </c>
      <c r="AP122" s="52">
        <v>37017.245771764712</v>
      </c>
      <c r="AQ122" s="52">
        <v>17813.561684581924</v>
      </c>
      <c r="AR122" s="52">
        <v>17679.489860398466</v>
      </c>
      <c r="AS122" s="52">
        <v>366.64068325488523</v>
      </c>
      <c r="AT122" s="52">
        <v>3911.5630000000001</v>
      </c>
      <c r="AU122" s="52">
        <v>12324.47537</v>
      </c>
      <c r="AV122" s="52">
        <v>629.10834950000003</v>
      </c>
      <c r="AW122" s="52">
        <v>11871.820239999999</v>
      </c>
      <c r="AX122" s="52">
        <v>50.52274912</v>
      </c>
      <c r="AY122" s="53">
        <v>104122.69692758858</v>
      </c>
      <c r="AZ122" s="52">
        <v>13486.677455999999</v>
      </c>
      <c r="BA122" s="52">
        <v>9710.0810056134505</v>
      </c>
      <c r="BB122" s="52">
        <v>18422.960396034501</v>
      </c>
      <c r="BC122" s="52">
        <v>836.30499999999995</v>
      </c>
      <c r="BD122" s="52">
        <v>187.60143550000001</v>
      </c>
      <c r="BE122" s="52">
        <v>18594.807649999999</v>
      </c>
      <c r="BF122" s="52">
        <v>15397.272139999999</v>
      </c>
      <c r="BG122" s="52">
        <v>1125.3050499999999</v>
      </c>
      <c r="BH122" s="52">
        <v>6884.7525990000004</v>
      </c>
      <c r="BI122" s="52">
        <v>423.85530779999999</v>
      </c>
      <c r="BJ122" s="53">
        <v>174575.09915393652</v>
      </c>
      <c r="BL122" s="15">
        <v>3.48</v>
      </c>
      <c r="BM122" s="12">
        <v>12744.23</v>
      </c>
      <c r="BN122" s="15">
        <v>3.72</v>
      </c>
      <c r="BO122" s="12">
        <v>4976.34</v>
      </c>
      <c r="BP122" s="15">
        <v>3.84</v>
      </c>
      <c r="BQ122" s="12">
        <v>1197.78</v>
      </c>
      <c r="BR122" s="15">
        <v>2.88</v>
      </c>
      <c r="BS122" s="9">
        <v>0.01</v>
      </c>
      <c r="BT122" s="6"/>
      <c r="BU122" s="6"/>
    </row>
    <row r="123" spans="1:73" x14ac:dyDescent="0.2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3">
        <v>26207.021376235862</v>
      </c>
      <c r="AN123" s="52">
        <v>74528.410499999998</v>
      </c>
      <c r="AO123" s="52">
        <v>55942.778147480276</v>
      </c>
      <c r="AP123" s="52">
        <v>37398.190504074817</v>
      </c>
      <c r="AQ123" s="52">
        <v>18544.587643405455</v>
      </c>
      <c r="AR123" s="52">
        <v>18253.670021840964</v>
      </c>
      <c r="AS123" s="52">
        <v>331.96233067874465</v>
      </c>
      <c r="AT123" s="52">
        <v>3952.2431428571399</v>
      </c>
      <c r="AU123" s="52">
        <v>12435.4750215201</v>
      </c>
      <c r="AV123" s="52">
        <v>638.55633827830002</v>
      </c>
      <c r="AW123" s="52">
        <v>11974.5268763268</v>
      </c>
      <c r="AX123" s="52">
        <v>48.082236221422797</v>
      </c>
      <c r="AY123" s="53">
        <v>105739.09726634317</v>
      </c>
      <c r="AZ123" s="52">
        <v>14081.3954814803</v>
      </c>
      <c r="BA123" s="52">
        <v>10151.419065075899</v>
      </c>
      <c r="BB123" s="52">
        <v>18792.2207509978</v>
      </c>
      <c r="BC123" s="52">
        <v>614.63028571428595</v>
      </c>
      <c r="BD123" s="52">
        <v>192.2264735</v>
      </c>
      <c r="BE123" s="52">
        <v>18803.084757500001</v>
      </c>
      <c r="BF123" s="52">
        <v>16062.8373354617</v>
      </c>
      <c r="BG123" s="52">
        <v>1120.089806</v>
      </c>
      <c r="BH123" s="52">
        <v>7206.2084277740396</v>
      </c>
      <c r="BI123" s="52">
        <v>439.68982677362601</v>
      </c>
      <c r="BJ123" s="53">
        <v>177911.10296752551</v>
      </c>
      <c r="BL123" s="15">
        <v>3.6</v>
      </c>
      <c r="BM123" s="12">
        <v>10210.57</v>
      </c>
      <c r="BN123" s="15">
        <v>3.72</v>
      </c>
      <c r="BO123" s="12">
        <v>5084.7</v>
      </c>
      <c r="BP123" s="15">
        <v>3.96</v>
      </c>
      <c r="BQ123" s="12">
        <v>1704.95</v>
      </c>
      <c r="BR123" s="15">
        <v>2.88</v>
      </c>
      <c r="BS123" s="9">
        <v>0.01</v>
      </c>
      <c r="BT123" s="6"/>
      <c r="BU123" s="6"/>
    </row>
    <row r="124" spans="1:73" x14ac:dyDescent="0.2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3">
        <v>26479.123741982999</v>
      </c>
      <c r="AN124" s="52">
        <v>75273.118000000002</v>
      </c>
      <c r="AO124" s="52">
        <v>56392.769527693825</v>
      </c>
      <c r="AP124" s="52">
        <v>37167.059738004209</v>
      </c>
      <c r="AQ124" s="52">
        <v>19225.709789689612</v>
      </c>
      <c r="AR124" s="52">
        <v>18575.872018603361</v>
      </c>
      <c r="AS124" s="52">
        <v>304.47645370282265</v>
      </c>
      <c r="AT124" s="52">
        <v>3994.6990000000001</v>
      </c>
      <c r="AU124" s="52">
        <v>11276.48309</v>
      </c>
      <c r="AV124" s="52">
        <v>650.37826419999999</v>
      </c>
      <c r="AW124" s="52">
        <v>11006.06256</v>
      </c>
      <c r="AX124" s="52">
        <v>47.091451569999997</v>
      </c>
      <c r="AY124" s="53">
        <v>106620.648084613</v>
      </c>
      <c r="AZ124" s="52">
        <v>14046.934522</v>
      </c>
      <c r="BA124" s="52">
        <v>9950.4879843152794</v>
      </c>
      <c r="BB124" s="52">
        <v>19439.8444918276</v>
      </c>
      <c r="BC124" s="52">
        <v>690.81799999999998</v>
      </c>
      <c r="BD124" s="52">
        <v>188.53326000000001</v>
      </c>
      <c r="BE124" s="52">
        <v>18817.077789999999</v>
      </c>
      <c r="BF124" s="52">
        <v>15995.92409</v>
      </c>
      <c r="BG124" s="52">
        <v>1108.8219509999999</v>
      </c>
      <c r="BH124" s="52">
        <v>7179.6626859999997</v>
      </c>
      <c r="BI124" s="52">
        <v>448.16719380000001</v>
      </c>
      <c r="BJ124" s="53">
        <v>179231.26029395589</v>
      </c>
      <c r="BL124" s="15">
        <v>3.72</v>
      </c>
      <c r="BM124" s="12">
        <v>10811.49</v>
      </c>
      <c r="BN124" s="15">
        <v>3.96</v>
      </c>
      <c r="BO124" s="12">
        <v>4502.2</v>
      </c>
      <c r="BP124" s="15">
        <v>4.32</v>
      </c>
      <c r="BQ124" s="12">
        <v>1276.9000000000001</v>
      </c>
      <c r="BR124" s="15">
        <v>3.84</v>
      </c>
      <c r="BS124" s="9">
        <v>0.01</v>
      </c>
      <c r="BT124" s="6"/>
      <c r="BU124" s="6"/>
    </row>
    <row r="125" spans="1:73" x14ac:dyDescent="0.2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3">
        <v>26226.716480371389</v>
      </c>
      <c r="AN125" s="52">
        <v>76298.981499999994</v>
      </c>
      <c r="AO125" s="52">
        <v>57197.358249841527</v>
      </c>
      <c r="AP125" s="52">
        <v>37584.902144629727</v>
      </c>
      <c r="AQ125" s="52">
        <v>19612.456105211797</v>
      </c>
      <c r="AR125" s="52">
        <v>18785.39574753289</v>
      </c>
      <c r="AS125" s="52">
        <v>316.22750262557787</v>
      </c>
      <c r="AT125" s="52">
        <v>4046.2950000000001</v>
      </c>
      <c r="AU125" s="52">
        <v>12895.182269999999</v>
      </c>
      <c r="AV125" s="52">
        <v>655.22221969999998</v>
      </c>
      <c r="AW125" s="52">
        <v>12577.90143</v>
      </c>
      <c r="AX125" s="52">
        <v>46.618236410000002</v>
      </c>
      <c r="AY125" s="53">
        <v>107497.87780366139</v>
      </c>
      <c r="AZ125" s="52">
        <v>14183.543304999999</v>
      </c>
      <c r="BA125" s="52">
        <v>10205.3066698434</v>
      </c>
      <c r="BB125" s="52">
        <v>19827.0712330438</v>
      </c>
      <c r="BC125" s="52">
        <v>1012.457</v>
      </c>
      <c r="BD125" s="52">
        <v>172.358159</v>
      </c>
      <c r="BE125" s="52">
        <v>18858.934679999998</v>
      </c>
      <c r="BF125" s="52">
        <v>15625.41678</v>
      </c>
      <c r="BG125" s="52">
        <v>1114.9153710000001</v>
      </c>
      <c r="BH125" s="52">
        <v>6856.0909739999997</v>
      </c>
      <c r="BI125" s="52">
        <v>451.03275209999998</v>
      </c>
      <c r="BJ125" s="53">
        <v>181190.75727544862</v>
      </c>
      <c r="BL125" s="15">
        <v>3.72</v>
      </c>
      <c r="BM125" s="12">
        <v>10504.67</v>
      </c>
      <c r="BN125" s="15">
        <v>4.08</v>
      </c>
      <c r="BO125" s="12">
        <v>3843.29</v>
      </c>
      <c r="BP125" s="15">
        <v>4.68</v>
      </c>
      <c r="BQ125" s="12">
        <v>842.11</v>
      </c>
      <c r="BR125" s="15">
        <v>3.6</v>
      </c>
      <c r="BS125" s="9">
        <v>0.01</v>
      </c>
      <c r="BT125" s="6"/>
      <c r="BU125" s="6"/>
    </row>
    <row r="126" spans="1:73" x14ac:dyDescent="0.2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3">
        <v>26672.543344244725</v>
      </c>
      <c r="AN126" s="52">
        <v>77029.819499999998</v>
      </c>
      <c r="AO126" s="52">
        <v>57536.563107870286</v>
      </c>
      <c r="AP126" s="52">
        <v>37865.305442207238</v>
      </c>
      <c r="AQ126" s="52">
        <v>19671.257665663041</v>
      </c>
      <c r="AR126" s="52">
        <v>19173.189558036003</v>
      </c>
      <c r="AS126" s="52">
        <v>320.06683409371573</v>
      </c>
      <c r="AT126" s="52">
        <v>4203.1390000000001</v>
      </c>
      <c r="AU126" s="52">
        <v>13128.0043381096</v>
      </c>
      <c r="AV126" s="52">
        <v>659.58118838300004</v>
      </c>
      <c r="AW126" s="52">
        <v>12711.1798843125</v>
      </c>
      <c r="AX126" s="52">
        <v>44.967979635385497</v>
      </c>
      <c r="AY126" s="53">
        <v>108936.93950678944</v>
      </c>
      <c r="AZ126" s="52">
        <v>14497.633648000001</v>
      </c>
      <c r="BA126" s="52">
        <v>9999.3128359995299</v>
      </c>
      <c r="BB126" s="52">
        <v>20349.413801034301</v>
      </c>
      <c r="BC126" s="52">
        <v>920.13</v>
      </c>
      <c r="BD126" s="52">
        <v>159.84912199999999</v>
      </c>
      <c r="BE126" s="52">
        <v>18856.419591175501</v>
      </c>
      <c r="BF126" s="52">
        <v>15205.181861897699</v>
      </c>
      <c r="BG126" s="52">
        <v>1132.9193754999999</v>
      </c>
      <c r="BH126" s="52">
        <v>6329.8885189150296</v>
      </c>
      <c r="BI126" s="52">
        <v>455.22948807036698</v>
      </c>
      <c r="BJ126" s="53">
        <v>183272.68173541111</v>
      </c>
      <c r="BL126" s="15">
        <v>3.84</v>
      </c>
      <c r="BM126" s="12">
        <v>10157.049999999999</v>
      </c>
      <c r="BN126" s="15">
        <v>4.32</v>
      </c>
      <c r="BO126" s="12">
        <v>3187.35</v>
      </c>
      <c r="BP126" s="15">
        <v>4.92</v>
      </c>
      <c r="BQ126" s="12">
        <v>829.86</v>
      </c>
      <c r="BR126" s="15">
        <v>2.4</v>
      </c>
      <c r="BS126" s="9">
        <v>0.13</v>
      </c>
      <c r="BT126" s="6"/>
      <c r="BU126" s="6"/>
    </row>
    <row r="127" spans="1:73" x14ac:dyDescent="0.2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3">
        <v>28210.039530048613</v>
      </c>
      <c r="AN127" s="52">
        <v>77307.429499999998</v>
      </c>
      <c r="AO127" s="52">
        <v>57612.107984682887</v>
      </c>
      <c r="AP127" s="52">
        <v>37731.329328471751</v>
      </c>
      <c r="AQ127" s="52">
        <v>19880.778656211136</v>
      </c>
      <c r="AR127" s="52">
        <v>19391.500520243491</v>
      </c>
      <c r="AS127" s="52">
        <v>303.8209950736271</v>
      </c>
      <c r="AT127" s="52">
        <v>4071.2460000000001</v>
      </c>
      <c r="AU127" s="52">
        <v>13029.311027252699</v>
      </c>
      <c r="AV127" s="52">
        <v>663.40726959000006</v>
      </c>
      <c r="AW127" s="52">
        <v>12517.898718587099</v>
      </c>
      <c r="AX127" s="52">
        <v>42.453480653606</v>
      </c>
      <c r="AY127" s="53">
        <v>110721.08112765061</v>
      </c>
      <c r="AZ127" s="52">
        <v>14524.2373025</v>
      </c>
      <c r="BA127" s="52">
        <v>9013.1763102638506</v>
      </c>
      <c r="BB127" s="52">
        <v>20421.028998736001</v>
      </c>
      <c r="BC127" s="52">
        <v>834.29</v>
      </c>
      <c r="BD127" s="52">
        <v>146.91918749999999</v>
      </c>
      <c r="BE127" s="52">
        <v>18754.935600500001</v>
      </c>
      <c r="BF127" s="52">
        <v>14386.5252486383</v>
      </c>
      <c r="BG127" s="52">
        <v>1128.3100425</v>
      </c>
      <c r="BH127" s="52">
        <v>5631.8419635813898</v>
      </c>
      <c r="BI127" s="52">
        <v>455.03077007744798</v>
      </c>
      <c r="BJ127" s="53">
        <v>183843.63108462992</v>
      </c>
      <c r="BL127" s="15">
        <v>3.96</v>
      </c>
      <c r="BM127" s="12">
        <v>9501.43</v>
      </c>
      <c r="BN127" s="15">
        <v>4.4400000000000004</v>
      </c>
      <c r="BO127" s="12">
        <v>3035.07</v>
      </c>
      <c r="BP127" s="15">
        <v>5.04</v>
      </c>
      <c r="BQ127" s="12">
        <v>781.77</v>
      </c>
      <c r="BR127" s="15">
        <v>3.89</v>
      </c>
      <c r="BS127" s="9">
        <v>0.02</v>
      </c>
      <c r="BT127" s="6"/>
      <c r="BU127" s="6"/>
    </row>
    <row r="128" spans="1:73" x14ac:dyDescent="0.2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3">
        <v>28818.619047005708</v>
      </c>
      <c r="AN128" s="52">
        <v>77857.243000000002</v>
      </c>
      <c r="AO128" s="52">
        <v>58129.533990981574</v>
      </c>
      <c r="AP128" s="52">
        <v>37982.344892865243</v>
      </c>
      <c r="AQ128" s="52">
        <v>20147.189098116327</v>
      </c>
      <c r="AR128" s="52">
        <v>19426.957904434475</v>
      </c>
      <c r="AS128" s="52">
        <v>300.75110458395108</v>
      </c>
      <c r="AT128" s="52">
        <v>4081.34</v>
      </c>
      <c r="AU128" s="52">
        <v>13050.2783</v>
      </c>
      <c r="AV128" s="52">
        <v>665.97359900000004</v>
      </c>
      <c r="AW128" s="52">
        <v>12535.38222</v>
      </c>
      <c r="AX128" s="52">
        <v>41.079170349999998</v>
      </c>
      <c r="AY128" s="53">
        <v>111896.99255565571</v>
      </c>
      <c r="AZ128" s="52">
        <v>14341.7446925</v>
      </c>
      <c r="BA128" s="52">
        <v>8950.2675922051494</v>
      </c>
      <c r="BB128" s="52">
        <v>20136.197778000002</v>
      </c>
      <c r="BC128" s="52">
        <v>765.06399999999996</v>
      </c>
      <c r="BD128" s="52">
        <v>114.7664075</v>
      </c>
      <c r="BE128" s="52">
        <v>18788.68376</v>
      </c>
      <c r="BF128" s="52">
        <v>13892.68772</v>
      </c>
      <c r="BG128" s="52">
        <v>1103.7884260000001</v>
      </c>
      <c r="BH128" s="52">
        <v>5315.3595109999997</v>
      </c>
      <c r="BI128" s="52">
        <v>454.50666569999999</v>
      </c>
      <c r="BJ128" s="53">
        <v>184220.32675516087</v>
      </c>
      <c r="BL128" s="15">
        <v>3.96</v>
      </c>
      <c r="BM128" s="12">
        <v>10663.38</v>
      </c>
      <c r="BN128" s="15">
        <v>4.4400000000000004</v>
      </c>
      <c r="BO128" s="12">
        <v>4040.11</v>
      </c>
      <c r="BP128" s="15">
        <v>4.92</v>
      </c>
      <c r="BQ128" s="12">
        <v>684.33</v>
      </c>
      <c r="BR128" s="15">
        <v>6.28</v>
      </c>
      <c r="BS128" s="9">
        <v>11.99</v>
      </c>
      <c r="BT128" s="6"/>
      <c r="BU128" s="6"/>
    </row>
    <row r="129" spans="1:73" x14ac:dyDescent="0.2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3">
        <v>28335.82623356823</v>
      </c>
      <c r="AN129" s="52">
        <v>78229.577499999999</v>
      </c>
      <c r="AO129" s="52">
        <v>58390.562863766776</v>
      </c>
      <c r="AP129" s="52">
        <v>38109.520827418317</v>
      </c>
      <c r="AQ129" s="52">
        <v>20281.042036348463</v>
      </c>
      <c r="AR129" s="52">
        <v>19533.959096716389</v>
      </c>
      <c r="AS129" s="52">
        <v>305.05553951681463</v>
      </c>
      <c r="AT129" s="52">
        <v>4105.1940000000004</v>
      </c>
      <c r="AU129" s="52">
        <v>12149.95685</v>
      </c>
      <c r="AV129" s="52">
        <v>670.17873359999999</v>
      </c>
      <c r="AW129" s="52">
        <v>11566.70931</v>
      </c>
      <c r="AX129" s="52">
        <v>41.556288770000002</v>
      </c>
      <c r="AY129" s="53">
        <v>111882.46771839824</v>
      </c>
      <c r="AZ129" s="52">
        <v>14397.719599</v>
      </c>
      <c r="BA129" s="52">
        <v>9670.4754860305693</v>
      </c>
      <c r="BB129" s="52">
        <v>20329.0288199229</v>
      </c>
      <c r="BC129" s="52">
        <v>1009.9829999999999</v>
      </c>
      <c r="BD129" s="52">
        <v>97.2685295</v>
      </c>
      <c r="BE129" s="52">
        <v>18862.7709</v>
      </c>
      <c r="BF129" s="52">
        <v>13972.887419999999</v>
      </c>
      <c r="BG129" s="52">
        <v>1081.4973660000001</v>
      </c>
      <c r="BH129" s="52">
        <v>5593.2689300000002</v>
      </c>
      <c r="BI129" s="52">
        <v>459.00821639999998</v>
      </c>
      <c r="BJ129" s="53">
        <v>185251.82169245175</v>
      </c>
      <c r="BL129" s="15">
        <v>3.84</v>
      </c>
      <c r="BM129" s="12">
        <v>8127.54</v>
      </c>
      <c r="BN129" s="15">
        <v>4.32</v>
      </c>
      <c r="BO129" s="12">
        <v>4325.28</v>
      </c>
      <c r="BP129" s="15">
        <v>4.68</v>
      </c>
      <c r="BQ129" s="12">
        <v>658.72</v>
      </c>
      <c r="BR129" s="15">
        <v>4.74</v>
      </c>
      <c r="BS129" s="9">
        <v>0.03</v>
      </c>
      <c r="BT129" s="6"/>
      <c r="BU129" s="6"/>
    </row>
    <row r="130" spans="1:73" x14ac:dyDescent="0.2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3">
        <v>27532.11921324845</v>
      </c>
      <c r="AN130" s="52">
        <v>79208.841</v>
      </c>
      <c r="AO130" s="52">
        <v>58910.533843191239</v>
      </c>
      <c r="AP130" s="52">
        <v>38296.882198854997</v>
      </c>
      <c r="AQ130" s="52">
        <v>20613.651644336249</v>
      </c>
      <c r="AR130" s="52">
        <v>20000.288673843112</v>
      </c>
      <c r="AS130" s="52">
        <v>298.01848296565134</v>
      </c>
      <c r="AT130" s="52">
        <v>4144.058</v>
      </c>
      <c r="AU130" s="52">
        <v>12247.222949999999</v>
      </c>
      <c r="AV130" s="52">
        <v>686.49450969999998</v>
      </c>
      <c r="AW130" s="52">
        <v>11625.984399999999</v>
      </c>
      <c r="AX130" s="52">
        <v>41.412825920000003</v>
      </c>
      <c r="AY130" s="53">
        <v>112151.33844702844</v>
      </c>
      <c r="AZ130" s="52">
        <v>14441.962627499999</v>
      </c>
      <c r="BA130" s="52">
        <v>9194.7848527650403</v>
      </c>
      <c r="BB130" s="52">
        <v>20381.632668120899</v>
      </c>
      <c r="BC130" s="52">
        <v>746.73500000000001</v>
      </c>
      <c r="BD130" s="52">
        <v>109.08516</v>
      </c>
      <c r="BE130" s="52">
        <v>18927.66718</v>
      </c>
      <c r="BF130" s="52">
        <v>14274.35333</v>
      </c>
      <c r="BG130" s="52">
        <v>1095.9497280000001</v>
      </c>
      <c r="BH130" s="52">
        <v>5907.991387</v>
      </c>
      <c r="BI130" s="52">
        <v>460.32269730000002</v>
      </c>
      <c r="BJ130" s="53">
        <v>184955.19490911436</v>
      </c>
      <c r="BL130" s="15">
        <v>3.84</v>
      </c>
      <c r="BM130" s="12">
        <v>9483.32</v>
      </c>
      <c r="BN130" s="15">
        <v>4.2</v>
      </c>
      <c r="BO130" s="12">
        <v>4143.38</v>
      </c>
      <c r="BP130" s="15">
        <v>4.5599999999999996</v>
      </c>
      <c r="BQ130" s="12">
        <v>755.11</v>
      </c>
      <c r="BR130" s="15">
        <v>5.0999999999999996</v>
      </c>
      <c r="BS130" s="9">
        <v>0.09</v>
      </c>
      <c r="BT130" s="6"/>
      <c r="BU130" s="6"/>
    </row>
    <row r="131" spans="1:73" x14ac:dyDescent="0.2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3">
        <v>27591.725247242619</v>
      </c>
      <c r="AN131" s="52">
        <v>79718.096000000005</v>
      </c>
      <c r="AO131" s="52">
        <v>58851.463017241455</v>
      </c>
      <c r="AP131" s="52">
        <v>38874.602941110374</v>
      </c>
      <c r="AQ131" s="52">
        <v>19976.860076131081</v>
      </c>
      <c r="AR131" s="52">
        <v>20556.481499238522</v>
      </c>
      <c r="AS131" s="52">
        <v>310.15148352003007</v>
      </c>
      <c r="AT131" s="52">
        <v>4186.9430000000002</v>
      </c>
      <c r="AU131" s="52">
        <v>13605.31746</v>
      </c>
      <c r="AV131" s="52">
        <v>704.67807349999998</v>
      </c>
      <c r="AW131" s="52">
        <v>12757.35482</v>
      </c>
      <c r="AX131" s="52">
        <v>40.52140103</v>
      </c>
      <c r="AY131" s="53">
        <v>113008.88355971262</v>
      </c>
      <c r="AZ131" s="52">
        <v>14473.503138</v>
      </c>
      <c r="BA131" s="52">
        <v>9374.6653267649508</v>
      </c>
      <c r="BB131" s="52">
        <v>20394.835619649501</v>
      </c>
      <c r="BC131" s="52">
        <v>342.71899999999999</v>
      </c>
      <c r="BD131" s="52">
        <v>133.0507935</v>
      </c>
      <c r="BE131" s="52">
        <v>18951.63335</v>
      </c>
      <c r="BF131" s="52">
        <v>14497.180770000001</v>
      </c>
      <c r="BG131" s="52">
        <v>1108.7892649999999</v>
      </c>
      <c r="BH131" s="52">
        <v>6195.5822420000004</v>
      </c>
      <c r="BI131" s="52">
        <v>457.4293381</v>
      </c>
      <c r="BJ131" s="53">
        <v>185632.24924252709</v>
      </c>
      <c r="BL131" s="15">
        <v>3.72</v>
      </c>
      <c r="BM131" s="12">
        <v>9700.89</v>
      </c>
      <c r="BN131" s="15">
        <v>3.96</v>
      </c>
      <c r="BO131" s="12">
        <v>2603.42</v>
      </c>
      <c r="BP131" s="15">
        <v>4.32</v>
      </c>
      <c r="BQ131" s="12">
        <v>821.61</v>
      </c>
      <c r="BR131" s="15">
        <v>4.33</v>
      </c>
      <c r="BS131" s="9">
        <v>0.06</v>
      </c>
      <c r="BT131" s="6"/>
      <c r="BU131" s="6"/>
    </row>
    <row r="132" spans="1:73" x14ac:dyDescent="0.2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3">
        <v>27588.092996278407</v>
      </c>
      <c r="AN132" s="52">
        <v>79905.5435</v>
      </c>
      <c r="AO132" s="52">
        <v>58412.782223045993</v>
      </c>
      <c r="AP132" s="52">
        <v>39679.88589578995</v>
      </c>
      <c r="AQ132" s="52">
        <v>18732.896327256043</v>
      </c>
      <c r="AR132" s="52">
        <v>21129.958176195563</v>
      </c>
      <c r="AS132" s="52">
        <v>362.80310075842766</v>
      </c>
      <c r="AT132" s="52">
        <v>4241.5360000000001</v>
      </c>
      <c r="AU132" s="52">
        <v>13940.3292102985</v>
      </c>
      <c r="AV132" s="52">
        <v>707.94291039858501</v>
      </c>
      <c r="AW132" s="52">
        <v>13117.705812668701</v>
      </c>
      <c r="AX132" s="52">
        <v>40.810685355903999</v>
      </c>
      <c r="AY132" s="53">
        <v>113224.92811895086</v>
      </c>
      <c r="AZ132" s="52">
        <v>14918.0996325</v>
      </c>
      <c r="BA132" s="52">
        <v>10118.8386822866</v>
      </c>
      <c r="BB132" s="52">
        <v>21591.540456035</v>
      </c>
      <c r="BC132" s="52">
        <v>342.09399999999999</v>
      </c>
      <c r="BD132" s="52">
        <v>162.50879850000001</v>
      </c>
      <c r="BE132" s="52">
        <v>18977.749526</v>
      </c>
      <c r="BF132" s="52">
        <v>14864.778251714801</v>
      </c>
      <c r="BG132" s="52">
        <v>1121.1673025</v>
      </c>
      <c r="BH132" s="52">
        <v>6434.2363983444402</v>
      </c>
      <c r="BI132" s="52">
        <v>459.78323666270398</v>
      </c>
      <c r="BJ132" s="53">
        <v>188427.68513348012</v>
      </c>
      <c r="BK132" s="58"/>
      <c r="BL132" s="15">
        <v>3.72</v>
      </c>
      <c r="BM132" s="12">
        <v>10016.82</v>
      </c>
      <c r="BN132" s="15">
        <v>3.96</v>
      </c>
      <c r="BO132" s="12">
        <v>3741.32</v>
      </c>
      <c r="BP132" s="15">
        <v>4.32</v>
      </c>
      <c r="BQ132" s="12">
        <v>699.12</v>
      </c>
      <c r="BR132" s="15">
        <v>3.06</v>
      </c>
      <c r="BS132" s="9">
        <v>0.06</v>
      </c>
      <c r="BT132" s="6"/>
      <c r="BU132" s="6"/>
    </row>
    <row r="133" spans="1:73" x14ac:dyDescent="0.2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3">
        <v>27787.7404662431</v>
      </c>
      <c r="AN133" s="52">
        <v>80733.001499999984</v>
      </c>
      <c r="AO133" s="52">
        <v>58786.034842812442</v>
      </c>
      <c r="AP133" s="52">
        <v>40666.406250270615</v>
      </c>
      <c r="AQ133" s="52">
        <v>18119.628592541827</v>
      </c>
      <c r="AR133" s="52">
        <v>21554.948424554586</v>
      </c>
      <c r="AS133" s="52">
        <v>392.01823263297393</v>
      </c>
      <c r="AT133" s="52">
        <v>4300.3339999999998</v>
      </c>
      <c r="AU133" s="52">
        <v>12817.67851</v>
      </c>
      <c r="AV133" s="52">
        <v>718.90764809999996</v>
      </c>
      <c r="AW133" s="52">
        <v>12283.719880000001</v>
      </c>
      <c r="AX133" s="52">
        <v>43.107267999999998</v>
      </c>
      <c r="AY133" s="53">
        <v>114030.83497634307</v>
      </c>
      <c r="AZ133" s="52">
        <v>15262.8713795</v>
      </c>
      <c r="BA133" s="52">
        <v>9876.9883765788109</v>
      </c>
      <c r="BB133" s="52">
        <v>22661.2930654343</v>
      </c>
      <c r="BC133" s="52">
        <v>213.357</v>
      </c>
      <c r="BD133" s="52">
        <v>184.41607999999999</v>
      </c>
      <c r="BE133" s="52">
        <v>18953.416089999999</v>
      </c>
      <c r="BF133" s="52">
        <v>15215.961719999999</v>
      </c>
      <c r="BG133" s="52">
        <v>1118.944068</v>
      </c>
      <c r="BH133" s="52">
        <v>6544.965811</v>
      </c>
      <c r="BI133" s="52">
        <v>454.97735069999999</v>
      </c>
      <c r="BJ133" s="53">
        <v>190518.13959415618</v>
      </c>
      <c r="BK133" s="58"/>
      <c r="BL133" s="15">
        <v>3.72</v>
      </c>
      <c r="BM133" s="12">
        <v>9297.15</v>
      </c>
      <c r="BN133" s="15">
        <v>3.96</v>
      </c>
      <c r="BO133" s="12">
        <v>3757.02</v>
      </c>
      <c r="BP133" s="15">
        <v>4.2</v>
      </c>
      <c r="BQ133" s="12">
        <v>736.51</v>
      </c>
      <c r="BR133" s="15">
        <v>3</v>
      </c>
      <c r="BS133" s="9">
        <v>0.01</v>
      </c>
      <c r="BT133" s="6"/>
      <c r="BU133" s="6"/>
    </row>
    <row r="134" spans="1:73" x14ac:dyDescent="0.2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3">
        <v>27284.781712779914</v>
      </c>
      <c r="AN134" s="52">
        <v>81044.462499999994</v>
      </c>
      <c r="AO134" s="52">
        <v>58834.004765631966</v>
      </c>
      <c r="AP134" s="52">
        <v>40725.932699102443</v>
      </c>
      <c r="AQ134" s="52">
        <v>18108.072066529527</v>
      </c>
      <c r="AR134" s="52">
        <v>21813.222717724977</v>
      </c>
      <c r="AS134" s="52">
        <v>397.2350166430324</v>
      </c>
      <c r="AT134" s="52">
        <v>4329.2160000000003</v>
      </c>
      <c r="AU134" s="52">
        <v>12863.658020000001</v>
      </c>
      <c r="AV134" s="52">
        <v>755.74022260000004</v>
      </c>
      <c r="AW134" s="52">
        <v>12199.03362</v>
      </c>
      <c r="AX134" s="52">
        <v>45.322600170000001</v>
      </c>
      <c r="AY134" s="53">
        <v>114033.50223520992</v>
      </c>
      <c r="AZ134" s="52">
        <v>15158.081257</v>
      </c>
      <c r="BA134" s="52">
        <v>10806.005350952601</v>
      </c>
      <c r="BB134" s="52">
        <v>23846.577402094299</v>
      </c>
      <c r="BC134" s="52">
        <v>212.46600000000001</v>
      </c>
      <c r="BD134" s="52">
        <v>209.31874400000001</v>
      </c>
      <c r="BE134" s="52">
        <v>18888.662260000001</v>
      </c>
      <c r="BF134" s="52">
        <v>15535.06827</v>
      </c>
      <c r="BG134" s="52">
        <v>1116.716308</v>
      </c>
      <c r="BH134" s="52">
        <v>6816.8005309999999</v>
      </c>
      <c r="BI134" s="52">
        <v>451.77433459999997</v>
      </c>
      <c r="BJ134" s="53">
        <v>192537.82296165681</v>
      </c>
      <c r="BK134" s="58"/>
      <c r="BL134" s="15">
        <v>3.72</v>
      </c>
      <c r="BM134" s="12">
        <v>10322.459999999999</v>
      </c>
      <c r="BN134" s="15">
        <v>3.96</v>
      </c>
      <c r="BO134" s="12">
        <v>3162.21</v>
      </c>
      <c r="BP134" s="15">
        <v>4.2</v>
      </c>
      <c r="BQ134" s="12">
        <v>1616.13</v>
      </c>
      <c r="BR134" s="15">
        <v>4.1900000000000004</v>
      </c>
      <c r="BS134" s="9">
        <v>0.09</v>
      </c>
      <c r="BT134" s="6"/>
      <c r="BU134" s="6"/>
    </row>
    <row r="135" spans="1:73" x14ac:dyDescent="0.2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3">
        <v>26967.874686370727</v>
      </c>
      <c r="AN135" s="52">
        <v>81457.95199999999</v>
      </c>
      <c r="AO135" s="52">
        <v>58751.632310840621</v>
      </c>
      <c r="AP135" s="52">
        <v>40465.090631648731</v>
      </c>
      <c r="AQ135" s="52">
        <v>18286.541679191894</v>
      </c>
      <c r="AR135" s="52">
        <v>22314.710939850233</v>
      </c>
      <c r="AS135" s="52">
        <v>391.60874930915963</v>
      </c>
      <c r="AT135" s="52">
        <v>4355.6580000000004</v>
      </c>
      <c r="AU135" s="52">
        <v>12799.4337485824</v>
      </c>
      <c r="AV135" s="52">
        <v>779.53350062107495</v>
      </c>
      <c r="AW135" s="52">
        <v>12111.3437303105</v>
      </c>
      <c r="AX135" s="52">
        <v>42.009706251777601</v>
      </c>
      <c r="AY135" s="53">
        <v>114207.0984990119</v>
      </c>
      <c r="AZ135" s="52">
        <v>15190.6653585</v>
      </c>
      <c r="BA135" s="52">
        <v>10694.3358299311</v>
      </c>
      <c r="BB135" s="52">
        <v>25208.8234848789</v>
      </c>
      <c r="BC135" s="52">
        <v>457.54091376500003</v>
      </c>
      <c r="BD135" s="52">
        <v>236.53795299999999</v>
      </c>
      <c r="BE135" s="52">
        <v>19059.288337999998</v>
      </c>
      <c r="BF135" s="52">
        <v>16146.1484360594</v>
      </c>
      <c r="BG135" s="52">
        <v>1135.1431869999999</v>
      </c>
      <c r="BH135" s="52">
        <v>7174.88105182651</v>
      </c>
      <c r="BI135" s="52">
        <v>461.66024385006102</v>
      </c>
      <c r="BJ135" s="53">
        <v>194699.04070446975</v>
      </c>
      <c r="BK135" s="58"/>
      <c r="BL135" s="15">
        <v>3.72</v>
      </c>
      <c r="BM135" s="12">
        <v>11363.06</v>
      </c>
      <c r="BN135" s="15">
        <v>3.84</v>
      </c>
      <c r="BO135" s="12">
        <v>3136.39</v>
      </c>
      <c r="BP135" s="15">
        <v>4.08</v>
      </c>
      <c r="BQ135" s="12">
        <v>1181.8699999999999</v>
      </c>
      <c r="BR135" s="15"/>
      <c r="BS135" s="9"/>
      <c r="BU135" s="6"/>
    </row>
    <row r="136" spans="1:73" x14ac:dyDescent="0.2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3">
        <v>27245.262797843712</v>
      </c>
      <c r="AN136" s="52">
        <v>82580.369577953999</v>
      </c>
      <c r="AO136" s="52">
        <v>59287.102185275056</v>
      </c>
      <c r="AP136" s="52">
        <v>40925.039955125801</v>
      </c>
      <c r="AQ136" s="52">
        <v>18362.062230149255</v>
      </c>
      <c r="AR136" s="52">
        <v>22931.115678039601</v>
      </c>
      <c r="AS136" s="52">
        <v>362.15171463934212</v>
      </c>
      <c r="AT136" s="52">
        <v>4383.0230000000001</v>
      </c>
      <c r="AU136" s="52">
        <v>13719.8684472614</v>
      </c>
      <c r="AV136" s="52">
        <v>779.45221536756003</v>
      </c>
      <c r="AW136" s="52">
        <v>12980.452659640699</v>
      </c>
      <c r="AX136" s="52">
        <v>41.453538258400698</v>
      </c>
      <c r="AY136" s="53">
        <v>115686.06984052758</v>
      </c>
      <c r="AZ136" s="52">
        <v>14986.542566</v>
      </c>
      <c r="BA136" s="52">
        <v>10307.508470361199</v>
      </c>
      <c r="BB136" s="52">
        <v>25832.688168343098</v>
      </c>
      <c r="BC136" s="52">
        <v>224.08799999999999</v>
      </c>
      <c r="BD136" s="52">
        <v>249.881426</v>
      </c>
      <c r="BE136" s="52">
        <v>19335.485588</v>
      </c>
      <c r="BF136" s="52">
        <v>16755.274847041499</v>
      </c>
      <c r="BG136" s="52">
        <v>1146.323257</v>
      </c>
      <c r="BH136" s="52">
        <v>7553.8007145470901</v>
      </c>
      <c r="BI136" s="52">
        <v>470.62934776791298</v>
      </c>
      <c r="BJ136" s="53">
        <v>196499.43210095839</v>
      </c>
      <c r="BK136" s="58"/>
      <c r="BL136" s="15">
        <v>3.72</v>
      </c>
      <c r="BM136" s="12">
        <v>10733.99</v>
      </c>
      <c r="BN136" s="15">
        <v>3.96</v>
      </c>
      <c r="BO136" s="12">
        <v>3404.27</v>
      </c>
      <c r="BP136" s="15">
        <v>4.08</v>
      </c>
      <c r="BQ136" s="12">
        <v>1360.51</v>
      </c>
      <c r="BR136" s="15">
        <v>3.97</v>
      </c>
      <c r="BS136" s="9">
        <v>0.16</v>
      </c>
      <c r="BT136" s="6"/>
      <c r="BU136" s="6"/>
    </row>
    <row r="137" spans="1:73" x14ac:dyDescent="0.2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3">
        <v>27120.064377035364</v>
      </c>
      <c r="AN137" s="52">
        <v>83881.743577953996</v>
      </c>
      <c r="AO137" s="52">
        <v>60062.356626877452</v>
      </c>
      <c r="AP137" s="52">
        <v>41665.244644177896</v>
      </c>
      <c r="AQ137" s="52">
        <v>18397.111982699553</v>
      </c>
      <c r="AR137" s="52">
        <v>23484.963834215483</v>
      </c>
      <c r="AS137" s="52">
        <v>334.42311686106217</v>
      </c>
      <c r="AT137" s="52">
        <v>4408.9930000000004</v>
      </c>
      <c r="AU137" s="52">
        <v>14932.281829394</v>
      </c>
      <c r="AV137" s="52">
        <v>714.061697280261</v>
      </c>
      <c r="AW137" s="52">
        <v>14195.5553594051</v>
      </c>
      <c r="AX137" s="52">
        <v>44.566229355069297</v>
      </c>
      <c r="AY137" s="53">
        <v>116817.02289290346</v>
      </c>
      <c r="AZ137" s="52">
        <v>14724.72900179</v>
      </c>
      <c r="BA137" s="52">
        <v>10134.486311193201</v>
      </c>
      <c r="BB137" s="52">
        <v>26046.346131699502</v>
      </c>
      <c r="BC137" s="52">
        <v>269.024</v>
      </c>
      <c r="BD137" s="52">
        <v>258.45306649999998</v>
      </c>
      <c r="BE137" s="52">
        <v>19499.248017499998</v>
      </c>
      <c r="BF137" s="52">
        <v>16696.196750022998</v>
      </c>
      <c r="BG137" s="52">
        <v>1145.9635685000001</v>
      </c>
      <c r="BH137" s="52">
        <v>7527.9049525280097</v>
      </c>
      <c r="BI137" s="52">
        <v>472.87777264591301</v>
      </c>
      <c r="BJ137" s="53">
        <v>197590.68701493525</v>
      </c>
      <c r="BK137" s="58"/>
      <c r="BL137" s="15">
        <v>3.72</v>
      </c>
      <c r="BM137" s="12">
        <v>9451.81</v>
      </c>
      <c r="BN137" s="15">
        <v>3.96</v>
      </c>
      <c r="BO137" s="12">
        <v>4068.95</v>
      </c>
      <c r="BP137" s="15">
        <v>4.08</v>
      </c>
      <c r="BQ137" s="12">
        <v>897.13</v>
      </c>
      <c r="BR137" s="15">
        <v>4.7</v>
      </c>
      <c r="BS137" s="9">
        <v>0.05</v>
      </c>
      <c r="BT137" s="6"/>
      <c r="BU137" s="6"/>
    </row>
    <row r="138" spans="1:73" x14ac:dyDescent="0.2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3">
        <v>27870.877863008431</v>
      </c>
      <c r="AN138" s="52">
        <v>83894.161500000002</v>
      </c>
      <c r="AO138" s="52">
        <v>59949.100055765484</v>
      </c>
      <c r="AP138" s="52">
        <v>41564.410892905864</v>
      </c>
      <c r="AQ138" s="52">
        <v>18384.689162859613</v>
      </c>
      <c r="AR138" s="52">
        <v>23612.456145469823</v>
      </c>
      <c r="AS138" s="52">
        <v>332.60529876469047</v>
      </c>
      <c r="AT138" s="52">
        <v>4411.9790000000003</v>
      </c>
      <c r="AU138" s="52">
        <v>14338.4840612637</v>
      </c>
      <c r="AV138" s="52">
        <v>716.10955120630001</v>
      </c>
      <c r="AW138" s="52">
        <v>13789.623230110299</v>
      </c>
      <c r="AX138" s="52">
        <v>41.640377745260601</v>
      </c>
      <c r="AY138" s="53">
        <v>117400.34836762288</v>
      </c>
      <c r="AZ138" s="52">
        <v>14913.627077790001</v>
      </c>
      <c r="BA138" s="52">
        <v>9458.1826302978607</v>
      </c>
      <c r="BB138" s="52">
        <v>26563.2745059236</v>
      </c>
      <c r="BC138" s="52">
        <v>396.18</v>
      </c>
      <c r="BD138" s="52">
        <v>267.51205199999998</v>
      </c>
      <c r="BE138" s="52">
        <v>19661.686916999999</v>
      </c>
      <c r="BF138" s="52">
        <v>15509.995611123601</v>
      </c>
      <c r="BG138" s="52">
        <v>1131.835822</v>
      </c>
      <c r="BH138" s="52">
        <v>6710.6003165607099</v>
      </c>
      <c r="BI138" s="52">
        <v>460.70649527811003</v>
      </c>
      <c r="BJ138" s="53">
        <v>198131.3361719191</v>
      </c>
      <c r="BK138" s="58"/>
      <c r="BL138" s="15">
        <v>3.6</v>
      </c>
      <c r="BM138" s="12">
        <v>9779.82</v>
      </c>
      <c r="BN138" s="15">
        <v>3.96</v>
      </c>
      <c r="BO138" s="12">
        <v>3577.35</v>
      </c>
      <c r="BP138" s="15">
        <v>4.08</v>
      </c>
      <c r="BQ138" s="12">
        <v>1007.4</v>
      </c>
      <c r="BR138" s="15">
        <v>3.96</v>
      </c>
      <c r="BS138" s="9">
        <v>0.01</v>
      </c>
      <c r="BT138" s="6"/>
      <c r="BU138" s="6"/>
    </row>
    <row r="139" spans="1:73" x14ac:dyDescent="0.2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3">
        <v>29369.974290851045</v>
      </c>
      <c r="AN139" s="52">
        <v>83646.736499999999</v>
      </c>
      <c r="AO139" s="52">
        <v>59473.229899191268</v>
      </c>
      <c r="AP139" s="52">
        <v>40982.540967354355</v>
      </c>
      <c r="AQ139" s="52">
        <v>18490.688931836914</v>
      </c>
      <c r="AR139" s="52">
        <v>23856.858166357753</v>
      </c>
      <c r="AS139" s="52">
        <v>316.6484344509804</v>
      </c>
      <c r="AT139" s="52">
        <v>4396.4669999999996</v>
      </c>
      <c r="AU139" s="52">
        <v>15085.2653404801</v>
      </c>
      <c r="AV139" s="52">
        <v>744.08903853425204</v>
      </c>
      <c r="AW139" s="52">
        <v>14344.530908865099</v>
      </c>
      <c r="AX139" s="52">
        <v>48.741324558633401</v>
      </c>
      <c r="AY139" s="53">
        <v>118849.25993644165</v>
      </c>
      <c r="AZ139" s="52">
        <v>14588.906704499999</v>
      </c>
      <c r="BA139" s="52">
        <v>8249.4013074400991</v>
      </c>
      <c r="BB139" s="52">
        <v>26652.133957009799</v>
      </c>
      <c r="BC139" s="52">
        <v>541.28099999999995</v>
      </c>
      <c r="BD139" s="52">
        <v>279.31360100000001</v>
      </c>
      <c r="BE139" s="52">
        <v>20247.366212000001</v>
      </c>
      <c r="BF139" s="52">
        <v>15690.655199193799</v>
      </c>
      <c r="BG139" s="52">
        <v>1120.3563569999999</v>
      </c>
      <c r="BH139" s="52">
        <v>6883.4293189172904</v>
      </c>
      <c r="BI139" s="52">
        <v>466.00719819142</v>
      </c>
      <c r="BJ139" s="53">
        <v>198869.23775747663</v>
      </c>
      <c r="BK139" s="58"/>
      <c r="BL139" s="15">
        <v>3.72</v>
      </c>
      <c r="BM139" s="12">
        <v>9144.57</v>
      </c>
      <c r="BN139" s="15">
        <v>3.96</v>
      </c>
      <c r="BO139" s="12">
        <v>3540.71</v>
      </c>
      <c r="BP139" s="15">
        <v>4.2</v>
      </c>
      <c r="BQ139" s="12">
        <v>691.29</v>
      </c>
      <c r="BR139" s="15">
        <v>4.99</v>
      </c>
      <c r="BS139" s="9">
        <v>129.59</v>
      </c>
      <c r="BT139" s="6"/>
      <c r="BU139" s="6"/>
    </row>
    <row r="140" spans="1:73" x14ac:dyDescent="0.2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3">
        <v>29513.825073802334</v>
      </c>
      <c r="AN140" s="52">
        <v>81901.430470934196</v>
      </c>
      <c r="AO140" s="52">
        <v>58237.020298455602</v>
      </c>
      <c r="AP140" s="52">
        <v>39616.604661392288</v>
      </c>
      <c r="AQ140" s="52">
        <v>18620.415637063314</v>
      </c>
      <c r="AR140" s="52">
        <v>23381.196193581909</v>
      </c>
      <c r="AS140" s="52">
        <v>283.21397889668884</v>
      </c>
      <c r="AT140" s="52">
        <v>4389.2140258490954</v>
      </c>
      <c r="AU140" s="52">
        <v>14143.9196060588</v>
      </c>
      <c r="AV140" s="52">
        <v>772.02751926712597</v>
      </c>
      <c r="AW140" s="52">
        <v>13529.003918152301</v>
      </c>
      <c r="AX140" s="52">
        <v>45.6256622793167</v>
      </c>
      <c r="AY140" s="53">
        <v>117145.78711547994</v>
      </c>
      <c r="AZ140" s="52">
        <v>16706.411241193</v>
      </c>
      <c r="BA140" s="52">
        <v>8019.0994767787897</v>
      </c>
      <c r="BB140" s="52">
        <v>27114.958775679999</v>
      </c>
      <c r="BC140" s="52">
        <v>209.054</v>
      </c>
      <c r="BD140" s="52">
        <v>285.39767499999999</v>
      </c>
      <c r="BE140" s="52">
        <v>20470.906020999999</v>
      </c>
      <c r="BF140" s="52">
        <v>15936.9109901314</v>
      </c>
      <c r="BG140" s="52">
        <v>1123.6116890000001</v>
      </c>
      <c r="BH140" s="52">
        <v>6989.96411712801</v>
      </c>
      <c r="BI140" s="52">
        <v>465.81602363417301</v>
      </c>
      <c r="BJ140" s="53">
        <v>199556.35684350092</v>
      </c>
      <c r="BK140" s="58"/>
      <c r="BL140" s="15">
        <v>3.48</v>
      </c>
      <c r="BM140" s="12">
        <v>9577.7199999999993</v>
      </c>
      <c r="BN140" s="15">
        <v>3.6</v>
      </c>
      <c r="BO140" s="12">
        <v>3225.79</v>
      </c>
      <c r="BP140" s="15">
        <v>3.72</v>
      </c>
      <c r="BQ140" s="12">
        <v>823.24</v>
      </c>
      <c r="BR140" s="15">
        <v>2.64</v>
      </c>
      <c r="BS140" s="9">
        <v>191.94</v>
      </c>
      <c r="BT140" s="6"/>
      <c r="BU140" s="6"/>
    </row>
    <row r="141" spans="1:73" x14ac:dyDescent="0.2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3">
        <v>29083.714105480303</v>
      </c>
      <c r="AN141" s="52">
        <v>81274.815599480513</v>
      </c>
      <c r="AO141" s="52">
        <v>56890.464230288162</v>
      </c>
      <c r="AP141" s="52">
        <v>38332.171504019127</v>
      </c>
      <c r="AQ141" s="52">
        <v>18558.292726269039</v>
      </c>
      <c r="AR141" s="52">
        <v>24127.472207787887</v>
      </c>
      <c r="AS141" s="52">
        <v>256.87916140445822</v>
      </c>
      <c r="AT141" s="52">
        <v>4396.3425587483998</v>
      </c>
      <c r="AU141" s="52">
        <v>13198.9280220817</v>
      </c>
      <c r="AV141" s="52">
        <v>803.21749999999997</v>
      </c>
      <c r="AW141" s="52">
        <v>12647.0590990491</v>
      </c>
      <c r="AX141" s="52">
        <v>42.112000000000002</v>
      </c>
      <c r="AY141" s="53">
        <v>116067.84668674182</v>
      </c>
      <c r="AZ141" s="52">
        <v>16704.181139382948</v>
      </c>
      <c r="BA141" s="52">
        <v>8640.0263437419508</v>
      </c>
      <c r="BB141" s="52">
        <v>27444.398728460899</v>
      </c>
      <c r="BC141" s="52">
        <v>259.37521739130398</v>
      </c>
      <c r="BD141" s="52">
        <v>276.05149749999998</v>
      </c>
      <c r="BE141" s="52">
        <v>20918.595568421999</v>
      </c>
      <c r="BF141" s="52">
        <v>17106.958064156599</v>
      </c>
      <c r="BG141" s="52">
        <v>1144.0784613492101</v>
      </c>
      <c r="BH141" s="52">
        <v>7546.2883172472402</v>
      </c>
      <c r="BI141" s="52">
        <v>466.51519248569002</v>
      </c>
      <c r="BJ141" s="53">
        <v>200548.70819741377</v>
      </c>
      <c r="BK141" s="58"/>
      <c r="BL141" s="15">
        <v>3.36</v>
      </c>
      <c r="BM141" s="12">
        <v>9033.85</v>
      </c>
      <c r="BN141" s="15">
        <v>3.36</v>
      </c>
      <c r="BO141" s="12">
        <v>2820.07</v>
      </c>
      <c r="BP141" s="15">
        <v>3.6</v>
      </c>
      <c r="BQ141" s="12">
        <v>922.05</v>
      </c>
      <c r="BR141" s="15">
        <v>4.08</v>
      </c>
      <c r="BS141" s="9">
        <v>0.04</v>
      </c>
      <c r="BT141" s="6"/>
      <c r="BU141" s="6"/>
    </row>
    <row r="142" spans="1:73" x14ac:dyDescent="0.2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3">
        <v>29066.514248898922</v>
      </c>
      <c r="AN142" s="52">
        <v>82641.108153233014</v>
      </c>
      <c r="AO142" s="52">
        <v>57631.624409862736</v>
      </c>
      <c r="AP142" s="52">
        <v>39152.696382365109</v>
      </c>
      <c r="AQ142" s="52">
        <v>18478.928027497626</v>
      </c>
      <c r="AR142" s="52">
        <v>24694.764407664843</v>
      </c>
      <c r="AS142" s="52">
        <v>314.71933570541643</v>
      </c>
      <c r="AT142" s="52">
        <v>4426.3936330764782</v>
      </c>
      <c r="AU142" s="52">
        <v>14804.174641417199</v>
      </c>
      <c r="AV142" s="52">
        <v>818.33100000000002</v>
      </c>
      <c r="AW142" s="52">
        <v>13985.270039561399</v>
      </c>
      <c r="AX142" s="52">
        <v>40.965000000000003</v>
      </c>
      <c r="AY142" s="53">
        <v>117730.28663706422</v>
      </c>
      <c r="AZ142" s="52">
        <v>16571.347262214731</v>
      </c>
      <c r="BA142" s="52">
        <v>8640.0263437419508</v>
      </c>
      <c r="BB142" s="52">
        <v>27444.398728460867</v>
      </c>
      <c r="BC142" s="52">
        <v>28.870999999999999</v>
      </c>
      <c r="BD142" s="52">
        <v>276.05149749999998</v>
      </c>
      <c r="BE142" s="52">
        <v>20918.595568421999</v>
      </c>
      <c r="BF142" s="52">
        <v>17106.958064156599</v>
      </c>
      <c r="BG142" s="52">
        <v>1157.5557094999999</v>
      </c>
      <c r="BH142" s="52">
        <v>7546.2883172472402</v>
      </c>
      <c r="BI142" s="52">
        <v>466.88432485071303</v>
      </c>
      <c r="BJ142" s="53">
        <v>201860.91816896241</v>
      </c>
      <c r="BK142" s="58"/>
      <c r="BL142" s="15">
        <v>3.24</v>
      </c>
      <c r="BM142" s="12">
        <v>9909.43</v>
      </c>
      <c r="BN142" s="15">
        <v>3.24</v>
      </c>
      <c r="BO142" s="12">
        <v>5173.1099999999997</v>
      </c>
      <c r="BP142" s="15">
        <v>3.48</v>
      </c>
      <c r="BQ142" s="12">
        <v>1052.49</v>
      </c>
      <c r="BR142" s="15">
        <v>3.84</v>
      </c>
      <c r="BS142" s="9">
        <v>0.05</v>
      </c>
      <c r="BT142" s="6"/>
      <c r="BU142" s="6"/>
    </row>
    <row r="143" spans="1:73" x14ac:dyDescent="0.2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3">
        <v>29863.703402400723</v>
      </c>
      <c r="AN143" s="52">
        <v>81479.203169256216</v>
      </c>
      <c r="AO143" s="52">
        <v>56313.092468241273</v>
      </c>
      <c r="AP143" s="52">
        <v>37933.514446640736</v>
      </c>
      <c r="AQ143" s="52">
        <v>18379.578021600537</v>
      </c>
      <c r="AR143" s="52">
        <v>24809.455786926916</v>
      </c>
      <c r="AS143" s="52">
        <v>356.65491408799733</v>
      </c>
      <c r="AT143" s="52">
        <v>4462.2846656488337</v>
      </c>
      <c r="AU143" s="52">
        <v>16386.028685687601</v>
      </c>
      <c r="AV143" s="52">
        <v>848.23900000000003</v>
      </c>
      <c r="AW143" s="52">
        <v>15155.8159506416</v>
      </c>
      <c r="AX143" s="52">
        <v>53.994500000000002</v>
      </c>
      <c r="AY143" s="53">
        <v>117829.64847235178</v>
      </c>
      <c r="AZ143" s="52">
        <v>16556.497298755123</v>
      </c>
      <c r="BA143" s="52">
        <v>9693.9338698250504</v>
      </c>
      <c r="BB143" s="52">
        <v>27398.361127226701</v>
      </c>
      <c r="BC143" s="52">
        <v>432.71699999999998</v>
      </c>
      <c r="BD143" s="52">
        <v>276.38119949999998</v>
      </c>
      <c r="BE143" s="52">
        <v>21053.015298499999</v>
      </c>
      <c r="BF143" s="52">
        <v>17603.690302400999</v>
      </c>
      <c r="BG143" s="52">
        <v>1182.863693</v>
      </c>
      <c r="BH143" s="52">
        <v>7947.4009893167304</v>
      </c>
      <c r="BI143" s="52">
        <v>475.99142143978202</v>
      </c>
      <c r="BJ143" s="53">
        <v>203603.71585080316</v>
      </c>
      <c r="BK143" s="58"/>
      <c r="BL143" s="15">
        <v>3</v>
      </c>
      <c r="BM143" s="12">
        <v>7818.87</v>
      </c>
      <c r="BN143" s="15">
        <v>3</v>
      </c>
      <c r="BO143" s="12">
        <v>2756.91</v>
      </c>
      <c r="BP143" s="15">
        <v>3.24</v>
      </c>
      <c r="BQ143" s="12">
        <v>1272.01</v>
      </c>
      <c r="BR143" s="15">
        <v>3.6</v>
      </c>
      <c r="BS143" s="9">
        <v>0.01</v>
      </c>
      <c r="BT143" s="6"/>
      <c r="BU143" s="6"/>
    </row>
    <row r="144" spans="1:73" x14ac:dyDescent="0.2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3">
        <v>30135.744536411592</v>
      </c>
      <c r="AN144" s="52">
        <v>82342.599778937089</v>
      </c>
      <c r="AO144" s="52">
        <v>56854.660624380987</v>
      </c>
      <c r="AP144" s="52">
        <v>37759.284931157912</v>
      </c>
      <c r="AQ144" s="52">
        <v>19095.375693223072</v>
      </c>
      <c r="AR144" s="52">
        <v>25124.207475263796</v>
      </c>
      <c r="AS144" s="52">
        <v>363.73167929233131</v>
      </c>
      <c r="AT144" s="52">
        <v>4515.0460484838177</v>
      </c>
      <c r="AU144" s="52">
        <v>15161.1835832009</v>
      </c>
      <c r="AV144" s="52">
        <v>873.03399999999999</v>
      </c>
      <c r="AW144" s="52">
        <v>14174.283508602601</v>
      </c>
      <c r="AX144" s="52">
        <v>63.368499999999997</v>
      </c>
      <c r="AY144" s="53">
        <v>118789.95593843079</v>
      </c>
      <c r="AZ144" s="52">
        <v>15733.484031907044</v>
      </c>
      <c r="BA144" s="52">
        <v>9226.3925425121397</v>
      </c>
      <c r="BB144" s="52">
        <v>27204.8567726527</v>
      </c>
      <c r="BC144" s="52">
        <v>421.12400000000002</v>
      </c>
      <c r="BD144" s="52">
        <v>281.89810499999999</v>
      </c>
      <c r="BE144" s="52">
        <v>21248.619600000002</v>
      </c>
      <c r="BF144" s="52">
        <v>18028.9704570262</v>
      </c>
      <c r="BG144" s="52">
        <v>1204.465299</v>
      </c>
      <c r="BH144" s="52">
        <v>7748.5715725073396</v>
      </c>
      <c r="BI144" s="52">
        <v>486.88298410655602</v>
      </c>
      <c r="BJ144" s="53">
        <v>203904.31218991501</v>
      </c>
      <c r="BK144" s="58"/>
      <c r="BL144" s="15">
        <v>2.88</v>
      </c>
      <c r="BM144" s="12">
        <v>9702.39</v>
      </c>
      <c r="BN144" s="15">
        <v>2.88</v>
      </c>
      <c r="BO144" s="12">
        <v>4313.68</v>
      </c>
      <c r="BP144" s="15">
        <v>3.24</v>
      </c>
      <c r="BQ144" s="12">
        <v>1018.69</v>
      </c>
      <c r="BR144" s="15">
        <v>2.64</v>
      </c>
      <c r="BS144" s="9">
        <v>0.03</v>
      </c>
      <c r="BT144" s="6"/>
      <c r="BU144" s="6"/>
    </row>
    <row r="145" spans="1:76" x14ac:dyDescent="0.2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3">
        <v>30512.095037614763</v>
      </c>
      <c r="AN145" s="52">
        <v>82742.174257014369</v>
      </c>
      <c r="AO145" s="52">
        <v>57072.15172485551</v>
      </c>
      <c r="AP145" s="52">
        <v>37436.098327936896</v>
      </c>
      <c r="AQ145" s="52">
        <v>19636.053396918622</v>
      </c>
      <c r="AR145" s="52">
        <v>25302.521401918137</v>
      </c>
      <c r="AS145" s="52">
        <v>367.50113024075864</v>
      </c>
      <c r="AT145" s="52">
        <v>4563.7838754866671</v>
      </c>
      <c r="AU145" s="52">
        <v>15229.434229468699</v>
      </c>
      <c r="AV145" s="52">
        <v>877.05050000000006</v>
      </c>
      <c r="AW145" s="52">
        <v>14372.6856777392</v>
      </c>
      <c r="AX145" s="52">
        <v>55.403500000000001</v>
      </c>
      <c r="AY145" s="53">
        <v>119496.4487218453</v>
      </c>
      <c r="AZ145" s="52">
        <v>15848.35201067965</v>
      </c>
      <c r="BA145" s="52">
        <v>8872.1677060398106</v>
      </c>
      <c r="BB145" s="52">
        <v>28171.732258963817</v>
      </c>
      <c r="BC145" s="52">
        <v>365.32299999999998</v>
      </c>
      <c r="BD145" s="52">
        <v>280.37103949999999</v>
      </c>
      <c r="BE145" s="52">
        <v>21360.062292999999</v>
      </c>
      <c r="BF145" s="52">
        <v>18309.831261481599</v>
      </c>
      <c r="BG145" s="52">
        <v>1219.3846639999999</v>
      </c>
      <c r="BH145" s="52">
        <v>7423.0513975691501</v>
      </c>
      <c r="BI145" s="52">
        <v>493.97100569468</v>
      </c>
      <c r="BJ145" s="53">
        <v>206006.65055224634</v>
      </c>
      <c r="BK145" s="58"/>
      <c r="BL145" s="15">
        <v>2.76</v>
      </c>
      <c r="BM145" s="12">
        <v>8780.31</v>
      </c>
      <c r="BN145" s="15">
        <v>2.88</v>
      </c>
      <c r="BO145" s="12">
        <v>3577.87</v>
      </c>
      <c r="BP145" s="15">
        <v>3.12</v>
      </c>
      <c r="BQ145" s="12">
        <v>1492.05</v>
      </c>
      <c r="BR145" s="15">
        <v>4.2</v>
      </c>
      <c r="BS145" s="9">
        <v>50</v>
      </c>
      <c r="BT145" s="6"/>
      <c r="BU145" s="6"/>
      <c r="BV145" s="79"/>
    </row>
    <row r="146" spans="1:76" x14ac:dyDescent="0.2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3">
        <v>30058</v>
      </c>
      <c r="AN146" s="52">
        <v>83688.645064987912</v>
      </c>
      <c r="AO146" s="52">
        <v>57820.645338905197</v>
      </c>
      <c r="AP146" s="52">
        <v>38194.340361564078</v>
      </c>
      <c r="AQ146" s="52">
        <v>19626.304977341115</v>
      </c>
      <c r="AR146" s="52">
        <v>25512.676011709507</v>
      </c>
      <c r="AS146" s="52">
        <v>355.32371437319841</v>
      </c>
      <c r="AT146" s="52">
        <v>4579.3337736028579</v>
      </c>
      <c r="AU146" s="52">
        <v>15457.036751821623</v>
      </c>
      <c r="AV146" s="52">
        <v>889.05600000000004</v>
      </c>
      <c r="AW146" s="52">
        <v>14557.93499312154</v>
      </c>
      <c r="AX146" s="52">
        <v>62.435000000000002</v>
      </c>
      <c r="AY146" s="53">
        <v>120051.70159729086</v>
      </c>
      <c r="AZ146" s="52">
        <v>15394.25239339962</v>
      </c>
      <c r="BA146" s="52">
        <v>9261.8374322432392</v>
      </c>
      <c r="BB146" s="52">
        <v>28657.004092417152</v>
      </c>
      <c r="BC146" s="52">
        <v>460.40238095238101</v>
      </c>
      <c r="BD146" s="52">
        <v>256.47571099999999</v>
      </c>
      <c r="BE146" s="52">
        <v>21285.735560000001</v>
      </c>
      <c r="BF146" s="52">
        <v>18310.461370712794</v>
      </c>
      <c r="BG146" s="52">
        <v>1226.2180495</v>
      </c>
      <c r="BH146" s="52">
        <v>7107.4089219813941</v>
      </c>
      <c r="BI146" s="52">
        <v>493.58924372660624</v>
      </c>
      <c r="BJ146" s="53">
        <v>207303.09042180807</v>
      </c>
      <c r="BK146" s="58"/>
      <c r="BL146" s="15">
        <v>2.76</v>
      </c>
      <c r="BM146" s="12">
        <v>9125.0499999999993</v>
      </c>
      <c r="BN146" s="15">
        <v>2.88</v>
      </c>
      <c r="BO146" s="12">
        <v>4571.93</v>
      </c>
      <c r="BP146" s="15">
        <v>3.36</v>
      </c>
      <c r="BQ146" s="12">
        <v>1124.1300000000001</v>
      </c>
      <c r="BR146" s="15">
        <v>4.2</v>
      </c>
      <c r="BS146" s="9">
        <v>141.59</v>
      </c>
      <c r="BT146" s="6"/>
      <c r="BU146" s="6"/>
      <c r="BV146" s="79"/>
    </row>
    <row r="147" spans="1:76" x14ac:dyDescent="0.2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3">
        <v>29824.671362792411</v>
      </c>
      <c r="AN147" s="52">
        <v>83701.098820510568</v>
      </c>
      <c r="AO147" s="52">
        <v>58298.439624385523</v>
      </c>
      <c r="AP147" s="52">
        <v>39967.055017849591</v>
      </c>
      <c r="AQ147" s="52">
        <v>18331.384606535936</v>
      </c>
      <c r="AR147" s="52">
        <v>25048.864433734692</v>
      </c>
      <c r="AS147" s="52">
        <v>353.79476239037422</v>
      </c>
      <c r="AT147" s="52">
        <v>4587.244310415409</v>
      </c>
      <c r="AU147" s="52">
        <v>14208.351933649694</v>
      </c>
      <c r="AV147" s="52">
        <v>905.1875</v>
      </c>
      <c r="AW147" s="52">
        <v>13628.287361572693</v>
      </c>
      <c r="AX147" s="52">
        <v>69.657000000000011</v>
      </c>
      <c r="AY147" s="53">
        <v>119528.60956579538</v>
      </c>
      <c r="AZ147" s="52">
        <v>14495.586163059726</v>
      </c>
      <c r="BA147" s="52">
        <v>8903.0412397138207</v>
      </c>
      <c r="BB147" s="52">
        <v>28845.791971994542</v>
      </c>
      <c r="BC147" s="52">
        <v>447.869545454545</v>
      </c>
      <c r="BD147" s="52">
        <v>223.04943</v>
      </c>
      <c r="BE147" s="52">
        <v>21388.306088999998</v>
      </c>
      <c r="BF147" s="52">
        <v>18601.865583801802</v>
      </c>
      <c r="BG147" s="52">
        <v>1240.6321992007715</v>
      </c>
      <c r="BH147" s="52">
        <v>6953.4856672018832</v>
      </c>
      <c r="BI147" s="52">
        <v>491.54750075199377</v>
      </c>
      <c r="BJ147" s="53">
        <v>206229.71862006671</v>
      </c>
      <c r="BK147" s="58"/>
      <c r="BL147" s="15">
        <v>2.64</v>
      </c>
      <c r="BM147" s="12">
        <v>9911.7000000000007</v>
      </c>
      <c r="BN147" s="15">
        <v>2.88</v>
      </c>
      <c r="BO147" s="12">
        <v>4336.3</v>
      </c>
      <c r="BP147" s="15">
        <v>3.12</v>
      </c>
      <c r="BQ147" s="12">
        <v>674.08</v>
      </c>
      <c r="BR147" s="15">
        <v>4.4400000000000004</v>
      </c>
      <c r="BS147" s="9">
        <v>100.16</v>
      </c>
      <c r="BT147" s="6"/>
      <c r="BU147" s="6"/>
      <c r="BV147" s="79"/>
    </row>
    <row r="148" spans="1:76" x14ac:dyDescent="0.2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3">
        <v>30160.115978614842</v>
      </c>
      <c r="AN148" s="52">
        <v>85528.546005450582</v>
      </c>
      <c r="AO148" s="52">
        <v>59325.990834624143</v>
      </c>
      <c r="AP148" s="52">
        <v>40855.728544628415</v>
      </c>
      <c r="AQ148" s="52">
        <v>18470.262289995728</v>
      </c>
      <c r="AR148" s="52">
        <v>25850.729586692494</v>
      </c>
      <c r="AS148" s="52">
        <v>351.82558413395537</v>
      </c>
      <c r="AT148" s="52">
        <v>4607.99297065275</v>
      </c>
      <c r="AU148" s="52">
        <v>15248.864857406768</v>
      </c>
      <c r="AV148" s="52">
        <v>905.02365238094092</v>
      </c>
      <c r="AW148" s="52">
        <v>14587.474092174372</v>
      </c>
      <c r="AX148" s="52">
        <v>72.147900248918873</v>
      </c>
      <c r="AY148" s="53">
        <v>121790.9214720826</v>
      </c>
      <c r="AZ148" s="52">
        <v>14697.958732449946</v>
      </c>
      <c r="BA148" s="52">
        <v>8017.6257264349997</v>
      </c>
      <c r="BB148" s="52">
        <v>28868.587171164218</v>
      </c>
      <c r="BC148" s="52">
        <v>345.09744911403283</v>
      </c>
      <c r="BD148" s="52">
        <v>208.4236356243108</v>
      </c>
      <c r="BE148" s="52">
        <v>21620.192329315767</v>
      </c>
      <c r="BF148" s="52">
        <v>19303.635895495969</v>
      </c>
      <c r="BG148" s="52">
        <v>1252.8512346406753</v>
      </c>
      <c r="BH148" s="52">
        <v>7367.4330138097612</v>
      </c>
      <c r="BI148" s="52">
        <v>493.78012471064289</v>
      </c>
      <c r="BJ148" s="53">
        <v>208244.08050780214</v>
      </c>
      <c r="BK148" s="58"/>
      <c r="BL148" s="15">
        <v>2.64</v>
      </c>
      <c r="BM148" s="12">
        <v>9260.57</v>
      </c>
      <c r="BN148" s="15">
        <v>2.76</v>
      </c>
      <c r="BO148" s="12">
        <v>3480.84</v>
      </c>
      <c r="BP148" s="15">
        <v>3.24</v>
      </c>
      <c r="BQ148" s="12">
        <v>1077.22</v>
      </c>
      <c r="BR148" s="15">
        <v>4.32</v>
      </c>
      <c r="BS148" s="9">
        <v>30.95</v>
      </c>
      <c r="BT148" s="6"/>
      <c r="BU148" s="6"/>
      <c r="BV148" s="79"/>
    </row>
    <row r="149" spans="1:76" x14ac:dyDescent="0.2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3">
        <v>30376.965311630851</v>
      </c>
      <c r="AN149" s="52">
        <v>85355.00665189547</v>
      </c>
      <c r="AO149" s="52">
        <v>59180.448783400141</v>
      </c>
      <c r="AP149" s="52">
        <v>41464.110143754318</v>
      </c>
      <c r="AQ149" s="52">
        <v>17716.338639645826</v>
      </c>
      <c r="AR149" s="52">
        <v>25805.228559355692</v>
      </c>
      <c r="AS149" s="52">
        <v>369.32930913965913</v>
      </c>
      <c r="AT149" s="52">
        <v>4631.9846776184995</v>
      </c>
      <c r="AU149" s="52">
        <v>16596.198495431679</v>
      </c>
      <c r="AV149" s="52">
        <v>900.44122172149207</v>
      </c>
      <c r="AW149" s="52">
        <v>15933.673581740446</v>
      </c>
      <c r="AX149" s="52">
        <v>79.408687378171422</v>
      </c>
      <c r="AY149" s="53">
        <v>121847.51408917939</v>
      </c>
      <c r="AZ149" s="52">
        <v>14590.569434739475</v>
      </c>
      <c r="BA149" s="52">
        <v>8628.5766315653</v>
      </c>
      <c r="BB149" s="52">
        <v>28532.046859300001</v>
      </c>
      <c r="BC149" s="52">
        <v>357.34348221727981</v>
      </c>
      <c r="BD149" s="52">
        <v>215.57315651857118</v>
      </c>
      <c r="BE149" s="52">
        <v>21803.305145696402</v>
      </c>
      <c r="BF149" s="52">
        <v>19235.57242983178</v>
      </c>
      <c r="BG149" s="52">
        <v>1252.458120238992</v>
      </c>
      <c r="BH149" s="52">
        <v>7342.9429034267787</v>
      </c>
      <c r="BI149" s="52">
        <v>492.56837223929995</v>
      </c>
      <c r="BJ149" s="53">
        <v>208627.44807362111</v>
      </c>
      <c r="BK149" s="58"/>
      <c r="BL149" s="15">
        <v>2.64</v>
      </c>
      <c r="BM149" s="12">
        <v>10543.55</v>
      </c>
      <c r="BN149" s="15">
        <v>2.88</v>
      </c>
      <c r="BO149" s="12">
        <v>5023.96</v>
      </c>
      <c r="BP149" s="15">
        <v>3.24</v>
      </c>
      <c r="BQ149" s="12">
        <v>694.1</v>
      </c>
      <c r="BR149" s="15">
        <v>4.68</v>
      </c>
      <c r="BS149" s="9">
        <v>102.15</v>
      </c>
      <c r="BT149" s="6"/>
      <c r="BU149" s="6"/>
      <c r="BV149" s="79"/>
    </row>
    <row r="150" spans="1:76" x14ac:dyDescent="0.2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3">
        <v>30662.91319147886</v>
      </c>
      <c r="AN150" s="52">
        <v>85619.242753744649</v>
      </c>
      <c r="AO150" s="52">
        <v>59699.522773025812</v>
      </c>
      <c r="AP150" s="52">
        <v>42815.148198949442</v>
      </c>
      <c r="AQ150" s="52">
        <v>16884.374574076373</v>
      </c>
      <c r="AR150" s="52">
        <v>25546.74496394947</v>
      </c>
      <c r="AS150" s="52">
        <v>372.97501676931461</v>
      </c>
      <c r="AT150" s="52">
        <v>4629.9586097527499</v>
      </c>
      <c r="AU150" s="52">
        <v>15997.570749439357</v>
      </c>
      <c r="AV150" s="52">
        <v>813.73149999999998</v>
      </c>
      <c r="AW150" s="52">
        <v>15026.486558608043</v>
      </c>
      <c r="AX150" s="52">
        <v>55.497500000000002</v>
      </c>
      <c r="AY150" s="53">
        <v>122641.43274580757</v>
      </c>
      <c r="AZ150" s="52">
        <v>14066.986576675303</v>
      </c>
      <c r="BA150" s="52">
        <v>8774.6619121224394</v>
      </c>
      <c r="BB150" s="52">
        <v>29193.9621687373</v>
      </c>
      <c r="BC150" s="52">
        <v>404.26812253403415</v>
      </c>
      <c r="BD150" s="52">
        <v>237.78748100000001</v>
      </c>
      <c r="BE150" s="52">
        <v>21534.249024000001</v>
      </c>
      <c r="BF150" s="52">
        <v>18024.651469148426</v>
      </c>
      <c r="BG150" s="52">
        <v>1242.287362</v>
      </c>
      <c r="BH150" s="52">
        <v>6813.5000710703043</v>
      </c>
      <c r="BI150" s="52">
        <v>471.32601443872363</v>
      </c>
      <c r="BJ150" s="53">
        <v>208835.46077651603</v>
      </c>
      <c r="BK150" s="58"/>
      <c r="BL150" s="15">
        <v>2.64</v>
      </c>
      <c r="BM150" s="12">
        <v>9817.93</v>
      </c>
      <c r="BN150" s="15">
        <v>2.88</v>
      </c>
      <c r="BO150" s="12">
        <v>4240.04</v>
      </c>
      <c r="BP150" s="15">
        <v>3.24</v>
      </c>
      <c r="BQ150" s="12">
        <v>641.89</v>
      </c>
      <c r="BR150" s="15"/>
      <c r="BS150" s="9"/>
      <c r="BU150" s="6"/>
      <c r="BV150" s="79"/>
    </row>
    <row r="151" spans="1:76" x14ac:dyDescent="0.2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3">
        <v>32321.030535908583</v>
      </c>
      <c r="AN151" s="52">
        <v>86202.562248625283</v>
      </c>
      <c r="AO151" s="52">
        <v>59984.606375795294</v>
      </c>
      <c r="AP151" s="52">
        <v>43605.007113166816</v>
      </c>
      <c r="AQ151" s="52">
        <v>16379.599262628482</v>
      </c>
      <c r="AR151" s="52">
        <v>25836.349858409012</v>
      </c>
      <c r="AS151" s="52">
        <v>381.60601442100017</v>
      </c>
      <c r="AT151" s="52">
        <v>4623.9748269281063</v>
      </c>
      <c r="AU151" s="52">
        <v>14946.23343322752</v>
      </c>
      <c r="AV151" s="52">
        <v>806.34950000000003</v>
      </c>
      <c r="AW151" s="52">
        <v>14510.379894206426</v>
      </c>
      <c r="AX151" s="52">
        <v>46.558999999999997</v>
      </c>
      <c r="AY151" s="53">
        <v>124343.21165048306</v>
      </c>
      <c r="AZ151" s="52">
        <v>14307.834634400004</v>
      </c>
      <c r="BA151" s="52">
        <v>7412.8973919759474</v>
      </c>
      <c r="BB151" s="52">
        <v>28147.1553206305</v>
      </c>
      <c r="BC151" s="52">
        <v>400.20399718175332</v>
      </c>
      <c r="BD151" s="52">
        <v>237.12423000000001</v>
      </c>
      <c r="BE151" s="52">
        <v>21575.060441499998</v>
      </c>
      <c r="BF151" s="52">
        <v>17941.727488830082</v>
      </c>
      <c r="BG151" s="52">
        <v>1235.5898379999999</v>
      </c>
      <c r="BH151" s="52">
        <v>6778.5220208287119</v>
      </c>
      <c r="BI151" s="52">
        <v>471.66688041220584</v>
      </c>
      <c r="BJ151" s="53">
        <v>208350.61609176043</v>
      </c>
      <c r="BK151" s="58"/>
      <c r="BL151" s="15">
        <v>2.76</v>
      </c>
      <c r="BM151" s="12">
        <v>9293.2900000000009</v>
      </c>
      <c r="BN151" s="15">
        <v>3.12</v>
      </c>
      <c r="BO151" s="12">
        <v>3659.31</v>
      </c>
      <c r="BP151" s="15">
        <v>3.36</v>
      </c>
      <c r="BQ151" s="12">
        <v>540</v>
      </c>
      <c r="BR151" s="15"/>
      <c r="BS151" s="9"/>
      <c r="BU151" s="6"/>
      <c r="BV151" s="79"/>
    </row>
    <row r="152" spans="1:76" x14ac:dyDescent="0.2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3">
        <v>32508.979628437799</v>
      </c>
      <c r="AN152" s="52">
        <v>86407.212846585258</v>
      </c>
      <c r="AO152" s="52">
        <v>60263.822840102206</v>
      </c>
      <c r="AP152" s="52">
        <v>44076.791231131079</v>
      </c>
      <c r="AQ152" s="52">
        <v>16187.031608971129</v>
      </c>
      <c r="AR152" s="52">
        <v>25739.00006250256</v>
      </c>
      <c r="AS152" s="52">
        <v>404.3899439805457</v>
      </c>
      <c r="AT152" s="52">
        <v>4640.0995036349095</v>
      </c>
      <c r="AU152" s="52">
        <v>15026.080625540755</v>
      </c>
      <c r="AV152" s="52">
        <v>836.23900000000003</v>
      </c>
      <c r="AW152" s="52">
        <v>14192.906609257003</v>
      </c>
      <c r="AX152" s="52">
        <v>68.422499999999999</v>
      </c>
      <c r="AY152" s="53">
        <v>125157.28249494171</v>
      </c>
      <c r="AZ152" s="52">
        <v>14472.741677860678</v>
      </c>
      <c r="BA152" s="52">
        <v>6356.8153208955418</v>
      </c>
      <c r="BB152" s="52">
        <v>28011.313890118956</v>
      </c>
      <c r="BC152" s="52">
        <v>397.21542535057517</v>
      </c>
      <c r="BD152" s="52">
        <v>251.5465615</v>
      </c>
      <c r="BE152" s="52">
        <v>21541.116775623501</v>
      </c>
      <c r="BF152" s="52">
        <v>18299.088066760491</v>
      </c>
      <c r="BG152" s="52">
        <v>1248.535061</v>
      </c>
      <c r="BH152" s="52">
        <v>6914.2251359559668</v>
      </c>
      <c r="BI152" s="52">
        <v>473.10747582687992</v>
      </c>
      <c r="BJ152" s="53">
        <v>208348.32266226862</v>
      </c>
      <c r="BK152" s="58"/>
      <c r="BL152" s="15">
        <v>2.76</v>
      </c>
      <c r="BM152" s="12">
        <v>10364.74</v>
      </c>
      <c r="BN152" s="15">
        <v>2.76</v>
      </c>
      <c r="BO152" s="12">
        <v>4277.32</v>
      </c>
      <c r="BP152" s="15">
        <v>3.24</v>
      </c>
      <c r="BQ152" s="12">
        <v>985.92</v>
      </c>
      <c r="BR152" s="15">
        <v>4.32</v>
      </c>
      <c r="BS152" s="9">
        <v>0.01</v>
      </c>
      <c r="BT152" s="6"/>
      <c r="BU152" s="6"/>
      <c r="BV152" s="84"/>
      <c r="BW152" s="84"/>
      <c r="BX152" s="84"/>
    </row>
    <row r="153" spans="1:76" x14ac:dyDescent="0.2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3">
        <v>32286.379415054304</v>
      </c>
      <c r="AN153" s="52">
        <v>86308.452166350442</v>
      </c>
      <c r="AO153" s="52">
        <v>59050.196532123067</v>
      </c>
      <c r="AP153" s="52">
        <v>42908.652508772138</v>
      </c>
      <c r="AQ153" s="52">
        <v>16141.544023350929</v>
      </c>
      <c r="AR153" s="52">
        <v>26789.248068595036</v>
      </c>
      <c r="AS153" s="52">
        <v>469.0075656322997</v>
      </c>
      <c r="AT153" s="52">
        <v>4665.7352222087502</v>
      </c>
      <c r="AU153" s="52">
        <v>14328.565376662282</v>
      </c>
      <c r="AV153" s="52">
        <v>858.06050000000005</v>
      </c>
      <c r="AW153" s="52">
        <v>13840.952721108119</v>
      </c>
      <c r="AX153" s="52">
        <v>72.989000000000004</v>
      </c>
      <c r="AY153" s="53">
        <v>124533.25095916768</v>
      </c>
      <c r="AZ153" s="52">
        <v>14557.276668992747</v>
      </c>
      <c r="BA153" s="52">
        <v>6638.8363849654506</v>
      </c>
      <c r="BB153" s="52">
        <v>28016.111210767547</v>
      </c>
      <c r="BC153" s="52">
        <v>401.771486114943</v>
      </c>
      <c r="BD153" s="52">
        <v>281.13438200000002</v>
      </c>
      <c r="BE153" s="52">
        <v>21559.689051362999</v>
      </c>
      <c r="BF153" s="52">
        <v>18584.793039473348</v>
      </c>
      <c r="BG153" s="52">
        <v>1274.4686623326375</v>
      </c>
      <c r="BH153" s="52">
        <v>6962.7755587343117</v>
      </c>
      <c r="BI153" s="52">
        <v>470.80793842152019</v>
      </c>
      <c r="BJ153" s="53">
        <v>208413.74834802153</v>
      </c>
      <c r="BK153" s="58"/>
      <c r="BL153" s="15">
        <v>2.64</v>
      </c>
      <c r="BM153" s="12">
        <v>8046.16</v>
      </c>
      <c r="BN153" s="15">
        <v>2.76</v>
      </c>
      <c r="BO153" s="12">
        <v>3436.95</v>
      </c>
      <c r="BP153" s="15">
        <v>3.12</v>
      </c>
      <c r="BQ153" s="12">
        <v>1189.2</v>
      </c>
      <c r="BR153" s="15">
        <v>2.2799999999999998</v>
      </c>
      <c r="BS153" s="9">
        <v>143.03</v>
      </c>
      <c r="BT153" s="6"/>
      <c r="BU153" s="6"/>
      <c r="BV153" s="84"/>
      <c r="BW153" s="84"/>
      <c r="BX153" s="84"/>
    </row>
    <row r="154" spans="1:76" x14ac:dyDescent="0.2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3">
        <v>32554.32402449767</v>
      </c>
      <c r="AN154" s="52">
        <v>87254.056430221841</v>
      </c>
      <c r="AO154" s="52">
        <v>59038.670540630206</v>
      </c>
      <c r="AP154" s="52">
        <v>43064.71837312838</v>
      </c>
      <c r="AQ154" s="52">
        <v>15973.952167501824</v>
      </c>
      <c r="AR154" s="52">
        <v>27705.752748654315</v>
      </c>
      <c r="AS154" s="52">
        <v>509.6331409372853</v>
      </c>
      <c r="AT154" s="52">
        <v>4687.6172503342868</v>
      </c>
      <c r="AU154" s="52">
        <v>16017.668952287971</v>
      </c>
      <c r="AV154" s="52">
        <v>859.78500000000008</v>
      </c>
      <c r="AW154" s="52">
        <v>14847.083566452367</v>
      </c>
      <c r="AX154" s="52">
        <v>77.480500000000006</v>
      </c>
      <c r="AY154" s="53">
        <v>126448.88759088938</v>
      </c>
      <c r="AZ154" s="52">
        <v>14546.539159554999</v>
      </c>
      <c r="BA154" s="52">
        <v>5594.9805379029085</v>
      </c>
      <c r="BB154" s="52">
        <v>28021.015510940895</v>
      </c>
      <c r="BC154" s="52">
        <v>393.395643995309</v>
      </c>
      <c r="BD154" s="52">
        <v>306.79623400000003</v>
      </c>
      <c r="BE154" s="52">
        <v>21631.578220739499</v>
      </c>
      <c r="BF154" s="52">
        <v>18507.248710799122</v>
      </c>
      <c r="BG154" s="52">
        <v>1245.4258505</v>
      </c>
      <c r="BH154" s="52">
        <v>6658.5339861162756</v>
      </c>
      <c r="BI154" s="52">
        <v>480.84428548933204</v>
      </c>
      <c r="BJ154" s="53">
        <v>209556.48918771654</v>
      </c>
      <c r="BK154" s="58"/>
      <c r="BL154" s="15">
        <v>2.64</v>
      </c>
      <c r="BM154" s="12">
        <v>10392.68</v>
      </c>
      <c r="BN154" s="15">
        <v>2.76</v>
      </c>
      <c r="BO154" s="12">
        <v>4731.3</v>
      </c>
      <c r="BP154" s="15">
        <v>3.24</v>
      </c>
      <c r="BQ154" s="12">
        <v>909.28</v>
      </c>
      <c r="BR154" s="15">
        <v>2.64</v>
      </c>
      <c r="BS154" s="9">
        <v>0.01</v>
      </c>
      <c r="BT154" s="6"/>
      <c r="BU154" s="6"/>
      <c r="BV154" s="84"/>
      <c r="BW154" s="84"/>
      <c r="BX154" s="84"/>
    </row>
    <row r="155" spans="1:76" x14ac:dyDescent="0.2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3">
        <v>32835.774244201661</v>
      </c>
      <c r="AN155" s="52">
        <v>89232.962671783753</v>
      </c>
      <c r="AO155" s="52">
        <v>59989.978348816025</v>
      </c>
      <c r="AP155" s="52">
        <v>43409.22815388078</v>
      </c>
      <c r="AQ155" s="52">
        <v>16580.750194935241</v>
      </c>
      <c r="AR155" s="52">
        <v>28807.089640589398</v>
      </c>
      <c r="AS155" s="52">
        <v>435.89468237838128</v>
      </c>
      <c r="AT155" s="52">
        <v>4724.8467899960006</v>
      </c>
      <c r="AU155" s="52">
        <v>17798.927568863932</v>
      </c>
      <c r="AV155" s="52">
        <v>855.40550000000007</v>
      </c>
      <c r="AW155" s="52">
        <v>16226.86984914063</v>
      </c>
      <c r="AX155" s="52">
        <v>93.919499999999999</v>
      </c>
      <c r="AY155" s="53">
        <v>129127.12742570472</v>
      </c>
      <c r="AZ155" s="52">
        <v>14645.001098740904</v>
      </c>
      <c r="BA155" s="52">
        <v>6551.5812639039032</v>
      </c>
      <c r="BB155" s="52">
        <v>28188.955476221134</v>
      </c>
      <c r="BC155" s="52">
        <v>385.61365807256101</v>
      </c>
      <c r="BD155" s="52">
        <v>346.52836200000002</v>
      </c>
      <c r="BE155" s="52">
        <v>21991.694049666497</v>
      </c>
      <c r="BF155" s="52">
        <v>18598.415989597466</v>
      </c>
      <c r="BG155" s="52">
        <v>1252.9505245</v>
      </c>
      <c r="BH155" s="52">
        <v>6425.988177188834</v>
      </c>
      <c r="BI155" s="52">
        <v>483.56162865272614</v>
      </c>
      <c r="BJ155" s="53">
        <v>214178.31804256566</v>
      </c>
      <c r="BK155" s="58"/>
      <c r="BL155" s="15">
        <v>2.64</v>
      </c>
      <c r="BM155" s="12">
        <v>10100.299999999999</v>
      </c>
      <c r="BN155" s="15">
        <v>2.88</v>
      </c>
      <c r="BO155" s="12">
        <v>3322.29</v>
      </c>
      <c r="BP155" s="15">
        <v>3.24</v>
      </c>
      <c r="BQ155" s="12">
        <v>1351.8</v>
      </c>
      <c r="BR155" s="15">
        <v>4.2</v>
      </c>
      <c r="BS155" s="9">
        <v>225.53</v>
      </c>
      <c r="BT155" s="6"/>
      <c r="BU155" s="6"/>
      <c r="BV155" s="84"/>
      <c r="BW155" s="84"/>
      <c r="BX155" s="84"/>
    </row>
    <row r="156" spans="1:76" x14ac:dyDescent="0.2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3">
        <v>33413.277797886403</v>
      </c>
      <c r="AN156" s="52">
        <v>90316.214837691296</v>
      </c>
      <c r="AO156" s="52">
        <v>60387.104450443359</v>
      </c>
      <c r="AP156" s="52">
        <v>43791.253194874233</v>
      </c>
      <c r="AQ156" s="52">
        <v>16595.851255569123</v>
      </c>
      <c r="AR156" s="52">
        <v>29488.110599583582</v>
      </c>
      <c r="AS156" s="52">
        <v>440.99978766435771</v>
      </c>
      <c r="AT156" s="52">
        <v>4769.1708388216184</v>
      </c>
      <c r="AU156" s="52">
        <v>16292.566911277168</v>
      </c>
      <c r="AV156" s="52">
        <v>864.74549999999999</v>
      </c>
      <c r="AW156" s="52">
        <v>15107.528348034091</v>
      </c>
      <c r="AX156" s="52">
        <v>77.881</v>
      </c>
      <c r="AY156" s="53">
        <v>130470.56653764199</v>
      </c>
      <c r="AZ156" s="52">
        <v>14544.363975848997</v>
      </c>
      <c r="BA156" s="52">
        <v>5897.0615966767045</v>
      </c>
      <c r="BB156" s="52">
        <v>28354.129293942951</v>
      </c>
      <c r="BC156" s="52">
        <v>391.40168792377932</v>
      </c>
      <c r="BD156" s="52">
        <v>349.30496549999998</v>
      </c>
      <c r="BE156" s="52">
        <v>22289.901734893996</v>
      </c>
      <c r="BF156" s="52">
        <v>18830.693933281626</v>
      </c>
      <c r="BG156" s="52">
        <v>1258.0224975000001</v>
      </c>
      <c r="BH156" s="52">
        <v>6329.5502977017595</v>
      </c>
      <c r="BI156" s="52">
        <v>486.53534226721524</v>
      </c>
      <c r="BJ156" s="53">
        <v>215569.11788491122</v>
      </c>
      <c r="BK156" s="58"/>
      <c r="BL156" s="15">
        <v>2.52</v>
      </c>
      <c r="BM156" s="12">
        <v>10726.25</v>
      </c>
      <c r="BN156" s="15">
        <v>2.76</v>
      </c>
      <c r="BO156" s="12">
        <v>5661.47</v>
      </c>
      <c r="BP156" s="15">
        <v>3.24</v>
      </c>
      <c r="BQ156" s="12">
        <v>1318.48</v>
      </c>
      <c r="BR156" s="15">
        <v>3.24</v>
      </c>
      <c r="BS156" s="9">
        <v>0.01</v>
      </c>
      <c r="BT156" s="6"/>
      <c r="BU156" s="6"/>
      <c r="BV156" s="84"/>
      <c r="BW156" s="84"/>
      <c r="BX156" s="84"/>
    </row>
    <row r="157" spans="1:76" x14ac:dyDescent="0.2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3">
        <v>33826.700919247785</v>
      </c>
      <c r="AN157" s="52">
        <v>91382.736147763382</v>
      </c>
      <c r="AO157" s="52">
        <v>61395.700528796384</v>
      </c>
      <c r="AP157" s="52">
        <v>45099.99746181607</v>
      </c>
      <c r="AQ157" s="52">
        <v>16295.703066980306</v>
      </c>
      <c r="AR157" s="52">
        <v>29533.845146976484</v>
      </c>
      <c r="AS157" s="52">
        <v>453.1904719905238</v>
      </c>
      <c r="AT157" s="52">
        <v>4822.0065548002385</v>
      </c>
      <c r="AU157" s="52">
        <v>16513.12075620237</v>
      </c>
      <c r="AV157" s="52">
        <v>879.125</v>
      </c>
      <c r="AW157" s="52">
        <v>15234.376149209413</v>
      </c>
      <c r="AX157" s="52">
        <v>64.192499999999995</v>
      </c>
      <c r="AY157" s="53">
        <v>132125.12072880435</v>
      </c>
      <c r="AZ157" s="52">
        <v>14650.733086802527</v>
      </c>
      <c r="BA157" s="52">
        <v>6218.5218822249053</v>
      </c>
      <c r="BB157" s="52">
        <v>28839.553586412483</v>
      </c>
      <c r="BC157" s="52">
        <v>396.26714588185069</v>
      </c>
      <c r="BD157" s="52">
        <v>356.32547750000003</v>
      </c>
      <c r="BE157" s="52">
        <v>22332.033146727503</v>
      </c>
      <c r="BF157" s="52">
        <v>19144.653072861154</v>
      </c>
      <c r="BG157" s="52">
        <v>1256.2229830000001</v>
      </c>
      <c r="BH157" s="52">
        <v>6482.3616844341686</v>
      </c>
      <c r="BI157" s="52">
        <v>487.56013909929919</v>
      </c>
      <c r="BJ157" s="53">
        <v>218349.50928668134</v>
      </c>
      <c r="BK157" s="58"/>
      <c r="BL157" s="15">
        <v>2.52</v>
      </c>
      <c r="BM157" s="12">
        <v>9018.6</v>
      </c>
      <c r="BN157" s="15">
        <v>2.76</v>
      </c>
      <c r="BO157" s="12">
        <v>4704.83</v>
      </c>
      <c r="BP157" s="15">
        <v>3.36</v>
      </c>
      <c r="BQ157" s="12">
        <v>1030.82</v>
      </c>
      <c r="BR157" s="15">
        <v>4.4400000000000004</v>
      </c>
      <c r="BS157" s="9">
        <v>50</v>
      </c>
      <c r="BT157" s="6"/>
      <c r="BU157" s="6"/>
      <c r="BV157" s="84"/>
      <c r="BW157" s="84"/>
      <c r="BX157" s="84"/>
    </row>
    <row r="158" spans="1:76" x14ac:dyDescent="0.2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3">
        <v>33631.691230973505</v>
      </c>
      <c r="AN158" s="52">
        <v>91182.926547918207</v>
      </c>
      <c r="AO158" s="52">
        <v>61253.597978726117</v>
      </c>
      <c r="AP158" s="52">
        <v>44971.171944612099</v>
      </c>
      <c r="AQ158" s="52">
        <v>16282.426034114013</v>
      </c>
      <c r="AR158" s="52">
        <v>29401.94862472975</v>
      </c>
      <c r="AS158" s="52">
        <v>527.37994446235018</v>
      </c>
      <c r="AT158" s="52">
        <v>4849.3820529595487</v>
      </c>
      <c r="AU158" s="52">
        <v>16611.669937976112</v>
      </c>
      <c r="AV158" s="52">
        <v>873.26250000000005</v>
      </c>
      <c r="AW158" s="52">
        <v>15028.411801384411</v>
      </c>
      <c r="AX158" s="52">
        <v>63.329499999999996</v>
      </c>
      <c r="AY158" s="53">
        <v>132057.19096844297</v>
      </c>
      <c r="AZ158" s="52">
        <v>14765.482957859702</v>
      </c>
      <c r="BA158" s="52">
        <v>7092.2727079632523</v>
      </c>
      <c r="BB158" s="52">
        <v>29789.204541630905</v>
      </c>
      <c r="BC158" s="52">
        <v>395.12414921725309</v>
      </c>
      <c r="BD158" s="52">
        <v>383.591476</v>
      </c>
      <c r="BE158" s="52">
        <v>22646.819422499997</v>
      </c>
      <c r="BF158" s="52">
        <v>19453.179930383678</v>
      </c>
      <c r="BG158" s="52">
        <v>1262.6548440000001</v>
      </c>
      <c r="BH158" s="52">
        <v>6813.0702930893149</v>
      </c>
      <c r="BI158" s="52">
        <v>486.2215583061859</v>
      </c>
      <c r="BJ158" s="53">
        <v>220546.22914660224</v>
      </c>
      <c r="BK158" s="58"/>
      <c r="BL158" s="15">
        <v>2.64</v>
      </c>
      <c r="BM158" s="12">
        <v>9862.5499999999993</v>
      </c>
      <c r="BN158" s="15">
        <v>2.88</v>
      </c>
      <c r="BO158" s="12">
        <v>4331.1099999999997</v>
      </c>
      <c r="BP158" s="15">
        <v>3.36</v>
      </c>
      <c r="BQ158" s="12">
        <v>867.57</v>
      </c>
      <c r="BR158" s="15">
        <v>2.52</v>
      </c>
      <c r="BS158" s="9">
        <v>111.51</v>
      </c>
      <c r="BT158" s="6"/>
      <c r="BU158" s="6"/>
      <c r="BV158" s="84"/>
      <c r="BW158" s="84"/>
      <c r="BX158" s="84"/>
    </row>
    <row r="159" spans="1:76" x14ac:dyDescent="0.2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3">
        <v>33192.812428923891</v>
      </c>
      <c r="AN159" s="52">
        <v>91652.241941754924</v>
      </c>
      <c r="AO159" s="52">
        <v>61474.278109147766</v>
      </c>
      <c r="AP159" s="52">
        <v>45045.468871883415</v>
      </c>
      <c r="AQ159" s="52">
        <v>16428.809237264344</v>
      </c>
      <c r="AR159" s="52">
        <v>29573.57489598645</v>
      </c>
      <c r="AS159" s="52">
        <v>604.38893662068187</v>
      </c>
      <c r="AT159" s="52">
        <v>4870.5512208734999</v>
      </c>
      <c r="AU159" s="52">
        <v>16533.908048013363</v>
      </c>
      <c r="AV159" s="52">
        <v>874.65949999999998</v>
      </c>
      <c r="AW159" s="52">
        <v>14787.059461013159</v>
      </c>
      <c r="AX159" s="52">
        <v>59.390999999999998</v>
      </c>
      <c r="AY159" s="53">
        <v>132277.72267855253</v>
      </c>
      <c r="AZ159" s="52">
        <v>14481.338059317139</v>
      </c>
      <c r="BA159" s="52">
        <v>7329.7624521070011</v>
      </c>
      <c r="BB159" s="52">
        <v>30745.075659578215</v>
      </c>
      <c r="BC159" s="52">
        <v>350.10336727418184</v>
      </c>
      <c r="BD159" s="52">
        <v>389.27750100000003</v>
      </c>
      <c r="BE159" s="52">
        <v>23090.296404381501</v>
      </c>
      <c r="BF159" s="52">
        <v>19835.201612534598</v>
      </c>
      <c r="BG159" s="52">
        <v>1281.0553570000002</v>
      </c>
      <c r="BH159" s="52">
        <v>7293.548711477265</v>
      </c>
      <c r="BI159" s="52">
        <v>488.49311106182978</v>
      </c>
      <c r="BJ159" s="53">
        <v>221997.79126920609</v>
      </c>
      <c r="BK159" s="58"/>
      <c r="BL159" s="15">
        <v>2.64</v>
      </c>
      <c r="BM159" s="12">
        <v>10265.24</v>
      </c>
      <c r="BN159" s="15">
        <v>2.88</v>
      </c>
      <c r="BO159" s="12">
        <v>5062.28</v>
      </c>
      <c r="BP159" s="15">
        <v>3.3600000000000003</v>
      </c>
      <c r="BQ159" s="12">
        <v>1216.82</v>
      </c>
      <c r="BR159" s="15">
        <v>4.32</v>
      </c>
      <c r="BS159" s="9">
        <v>75</v>
      </c>
      <c r="BT159" s="6"/>
      <c r="BU159" s="6"/>
      <c r="BV159" s="84"/>
      <c r="BW159" s="84"/>
      <c r="BX159" s="84"/>
    </row>
    <row r="160" spans="1:76" x14ac:dyDescent="0.2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3">
        <v>34099.777785778773</v>
      </c>
      <c r="AN160" s="52">
        <v>92419.020602217948</v>
      </c>
      <c r="AO160" s="52">
        <v>61846.875404462859</v>
      </c>
      <c r="AP160" s="52">
        <v>45223.085255535596</v>
      </c>
      <c r="AQ160" s="52">
        <v>16623.79014892727</v>
      </c>
      <c r="AR160" s="52">
        <v>29943.274276864282</v>
      </c>
      <c r="AS160" s="52">
        <v>628.87092089076441</v>
      </c>
      <c r="AT160" s="52">
        <v>4896.4063280307064</v>
      </c>
      <c r="AU160" s="52">
        <v>16362.92468027189</v>
      </c>
      <c r="AV160" s="52">
        <v>882.22199999999998</v>
      </c>
      <c r="AW160" s="52">
        <v>14743.015643633382</v>
      </c>
      <c r="AX160" s="52">
        <v>61.465000000000003</v>
      </c>
      <c r="AY160" s="53">
        <v>133855.87075266594</v>
      </c>
      <c r="AZ160" s="52">
        <v>15185.08970622306</v>
      </c>
      <c r="BA160" s="52">
        <v>6902.4246272934115</v>
      </c>
      <c r="BB160" s="52">
        <v>31517.33992680236</v>
      </c>
      <c r="BC160" s="52">
        <v>348.32001433323529</v>
      </c>
      <c r="BD160" s="52">
        <v>398.793631</v>
      </c>
      <c r="BE160" s="52">
        <v>23401.0620043815</v>
      </c>
      <c r="BF160" s="52">
        <v>20111.760241040258</v>
      </c>
      <c r="BG160" s="52">
        <v>1285.3726230000002</v>
      </c>
      <c r="BH160" s="52">
        <v>7415.6473961933134</v>
      </c>
      <c r="BI160" s="52">
        <v>491.24396812499947</v>
      </c>
      <c r="BJ160" s="53">
        <v>225099.14216242146</v>
      </c>
      <c r="BK160" s="58"/>
      <c r="BL160" s="15">
        <v>2.64</v>
      </c>
      <c r="BM160" s="12">
        <v>9504.23</v>
      </c>
      <c r="BN160" s="15">
        <v>3</v>
      </c>
      <c r="BO160" s="12">
        <v>2998.92</v>
      </c>
      <c r="BP160" s="15">
        <v>3.4799999999999995</v>
      </c>
      <c r="BQ160" s="12">
        <v>688.93</v>
      </c>
      <c r="BR160" s="15"/>
      <c r="BS160" s="9"/>
      <c r="BU160" s="6"/>
      <c r="BV160" s="84"/>
      <c r="BW160" s="84"/>
      <c r="BX160" s="84"/>
    </row>
    <row r="161" spans="1:76" x14ac:dyDescent="0.2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3">
        <v>33692.148031572702</v>
      </c>
      <c r="AN161" s="52">
        <v>91533.814860408456</v>
      </c>
      <c r="AO161" s="52">
        <v>61190.707833891756</v>
      </c>
      <c r="AP161" s="52">
        <v>44792.032946208012</v>
      </c>
      <c r="AQ161" s="52">
        <v>16398.674887683752</v>
      </c>
      <c r="AR161" s="52">
        <v>29756.028633662751</v>
      </c>
      <c r="AS161" s="52">
        <v>587.07839285400041</v>
      </c>
      <c r="AT161" s="52">
        <v>4927.3365200560465</v>
      </c>
      <c r="AU161" s="52">
        <v>16490.341528042813</v>
      </c>
      <c r="AV161" s="52">
        <v>882.2639999999999</v>
      </c>
      <c r="AW161" s="52">
        <v>14577.327610866796</v>
      </c>
      <c r="AX161" s="52">
        <v>77.849500000000006</v>
      </c>
      <c r="AY161" s="53">
        <v>132870.75077396812</v>
      </c>
      <c r="AZ161" s="52">
        <v>14868.21709562359</v>
      </c>
      <c r="BA161" s="52">
        <v>7604.6834010661814</v>
      </c>
      <c r="BB161" s="52">
        <v>32178.404211652189</v>
      </c>
      <c r="BC161" s="52">
        <v>337.55406675995454</v>
      </c>
      <c r="BD161" s="52">
        <v>393.62511649999999</v>
      </c>
      <c r="BE161" s="52">
        <v>23702.360236812499</v>
      </c>
      <c r="BF161" s="52">
        <v>19850.601031852497</v>
      </c>
      <c r="BG161" s="52">
        <v>1261.602245</v>
      </c>
      <c r="BH161" s="52">
        <v>7566.7908905133208</v>
      </c>
      <c r="BI161" s="52">
        <v>490.24313137305114</v>
      </c>
      <c r="BJ161" s="53">
        <v>225010.76415734863</v>
      </c>
      <c r="BK161" s="58"/>
      <c r="BL161" s="15">
        <v>2.7600000000000002</v>
      </c>
      <c r="BM161" s="12">
        <v>12141.62</v>
      </c>
      <c r="BN161" s="15">
        <v>3.24</v>
      </c>
      <c r="BO161" s="12">
        <v>3993.07</v>
      </c>
      <c r="BP161" s="15">
        <v>3.96</v>
      </c>
      <c r="BQ161" s="12">
        <v>908.71</v>
      </c>
      <c r="BR161" s="15">
        <v>4.32</v>
      </c>
      <c r="BS161" s="9">
        <v>0.01</v>
      </c>
      <c r="BT161" s="6"/>
      <c r="BU161" s="6"/>
      <c r="BV161" s="84"/>
      <c r="BW161" s="84"/>
      <c r="BX161" s="84"/>
    </row>
    <row r="162" spans="1:76" x14ac:dyDescent="0.2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3">
        <v>33922.812868553105</v>
      </c>
      <c r="AN162" s="52">
        <v>93197.333447243436</v>
      </c>
      <c r="AO162" s="52">
        <v>62443.393764704124</v>
      </c>
      <c r="AP162" s="52">
        <v>45868.366103863591</v>
      </c>
      <c r="AQ162" s="52">
        <v>16575.027660840533</v>
      </c>
      <c r="AR162" s="52">
        <v>30145.789137856187</v>
      </c>
      <c r="AS162" s="52">
        <v>608.15054468309984</v>
      </c>
      <c r="AT162" s="52">
        <v>4936.6703400209508</v>
      </c>
      <c r="AU162" s="52">
        <v>18348.160591183998</v>
      </c>
      <c r="AV162" s="52">
        <v>880.21799999999996</v>
      </c>
      <c r="AW162" s="52">
        <v>15648.848196526271</v>
      </c>
      <c r="AX162" s="52">
        <v>79.665999999999997</v>
      </c>
      <c r="AY162" s="53">
        <v>135556.68105047519</v>
      </c>
      <c r="AZ162" s="52">
        <v>15534.51408865765</v>
      </c>
      <c r="BA162" s="52">
        <v>7917.3433744744989</v>
      </c>
      <c r="BB162" s="52">
        <v>32454.227264628298</v>
      </c>
      <c r="BC162" s="52">
        <v>337.88615255495</v>
      </c>
      <c r="BD162" s="52">
        <v>385.93189100000001</v>
      </c>
      <c r="BE162" s="52">
        <v>24096.336430812502</v>
      </c>
      <c r="BF162" s="52">
        <v>19446.14487449545</v>
      </c>
      <c r="BG162" s="52">
        <v>1245.4338275</v>
      </c>
      <c r="BH162" s="52">
        <v>8085.6534713204428</v>
      </c>
      <c r="BI162" s="52">
        <v>493.79568407536414</v>
      </c>
      <c r="BJ162" s="53">
        <v>228395.04979920271</v>
      </c>
      <c r="BK162" s="58"/>
      <c r="BL162" s="15">
        <v>2.7600000000000002</v>
      </c>
      <c r="BM162" s="12">
        <v>10103.89</v>
      </c>
      <c r="BN162" s="15">
        <v>3.4799999999999995</v>
      </c>
      <c r="BO162" s="12">
        <v>4570.8500000000004</v>
      </c>
      <c r="BP162" s="15">
        <v>3.96</v>
      </c>
      <c r="BQ162" s="12">
        <v>1375.6</v>
      </c>
      <c r="BR162" s="15">
        <v>3.3600000000000003</v>
      </c>
      <c r="BS162" s="9">
        <v>77</v>
      </c>
      <c r="BT162" s="6"/>
      <c r="BU162" s="6"/>
      <c r="BV162" s="84"/>
      <c r="BW162" s="84"/>
      <c r="BX162" s="84"/>
    </row>
    <row r="163" spans="1:76" x14ac:dyDescent="0.2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3">
        <v>35453.00522593721</v>
      </c>
      <c r="AN163" s="52">
        <v>94277.298742564497</v>
      </c>
      <c r="AO163" s="52">
        <v>63271.608276081126</v>
      </c>
      <c r="AP163" s="52">
        <v>46641.31542062707</v>
      </c>
      <c r="AQ163" s="52">
        <v>16630.292855454052</v>
      </c>
      <c r="AR163" s="52">
        <v>30380.561142262213</v>
      </c>
      <c r="AS163" s="52">
        <v>625.12932422115796</v>
      </c>
      <c r="AT163" s="52">
        <v>4936.910468772262</v>
      </c>
      <c r="AU163" s="52">
        <v>17781.522698547731</v>
      </c>
      <c r="AV163" s="52">
        <v>882.46799999999996</v>
      </c>
      <c r="AW163" s="52">
        <v>15595.980366923246</v>
      </c>
      <c r="AX163" s="52">
        <v>70.698499999999996</v>
      </c>
      <c r="AY163" s="53">
        <v>137664.52626889845</v>
      </c>
      <c r="AZ163" s="52">
        <v>15657.669669168266</v>
      </c>
      <c r="BA163" s="52">
        <v>7195.4440651196319</v>
      </c>
      <c r="BB163" s="52">
        <v>33029.688535550158</v>
      </c>
      <c r="BC163" s="52">
        <v>341.93669403152632</v>
      </c>
      <c r="BD163" s="52">
        <v>419.62369150000001</v>
      </c>
      <c r="BE163" s="52">
        <v>24320.149882500002</v>
      </c>
      <c r="BF163" s="52">
        <v>19251.815313931766</v>
      </c>
      <c r="BG163" s="52">
        <v>1246.5613054999999</v>
      </c>
      <c r="BH163" s="52">
        <v>7460.9081944866175</v>
      </c>
      <c r="BI163" s="52">
        <v>498.60181926351459</v>
      </c>
      <c r="BJ163" s="53">
        <v>231167.90541244965</v>
      </c>
      <c r="BK163" s="58"/>
      <c r="BL163" s="15">
        <v>2.88</v>
      </c>
      <c r="BM163" s="12">
        <v>9802.7000000000007</v>
      </c>
      <c r="BN163" s="15">
        <v>3.4799999999999995</v>
      </c>
      <c r="BO163" s="12">
        <v>4974.71</v>
      </c>
      <c r="BP163" s="15">
        <v>3.96</v>
      </c>
      <c r="BQ163" s="12">
        <v>357.77</v>
      </c>
      <c r="BR163" s="15"/>
      <c r="BS163" s="9"/>
      <c r="BU163" s="6"/>
      <c r="BV163" s="84"/>
      <c r="BW163" s="84"/>
      <c r="BX163" s="84"/>
    </row>
    <row r="164" spans="1:76" x14ac:dyDescent="0.2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3">
        <v>35512.971812134667</v>
      </c>
      <c r="AN164" s="52">
        <v>93709.269625872999</v>
      </c>
      <c r="AO164" s="52">
        <v>62650.38072539214</v>
      </c>
      <c r="AP164" s="52">
        <v>46381.755121431939</v>
      </c>
      <c r="AQ164" s="52">
        <v>16268.625603960199</v>
      </c>
      <c r="AR164" s="52">
        <v>30410.929714323502</v>
      </c>
      <c r="AS164" s="52">
        <v>647.95918615736377</v>
      </c>
      <c r="AT164" s="52">
        <v>4950.4044080317726</v>
      </c>
      <c r="AU164" s="52">
        <v>15983.290737855268</v>
      </c>
      <c r="AV164" s="52">
        <v>895.97399999999993</v>
      </c>
      <c r="AW164" s="52">
        <v>14461.904523114306</v>
      </c>
      <c r="AX164" s="52">
        <v>59.600999999999999</v>
      </c>
      <c r="AY164" s="53">
        <v>136530.40506078038</v>
      </c>
      <c r="AZ164" s="52">
        <v>15436.635486109821</v>
      </c>
      <c r="BA164" s="52">
        <v>7168.0028930099979</v>
      </c>
      <c r="BB164" s="52">
        <v>33487.338503296458</v>
      </c>
      <c r="BC164" s="52">
        <v>337.7844800821818</v>
      </c>
      <c r="BD164" s="52">
        <v>459.16308600000002</v>
      </c>
      <c r="BE164" s="52">
        <v>24295.053945</v>
      </c>
      <c r="BF164" s="52">
        <v>19403.923334842322</v>
      </c>
      <c r="BG164" s="52">
        <v>1251.9879289999999</v>
      </c>
      <c r="BH164" s="52">
        <v>6991.4371519065735</v>
      </c>
      <c r="BI164" s="52">
        <v>498.62349761374747</v>
      </c>
      <c r="BJ164" s="53">
        <v>230880.23406860084</v>
      </c>
      <c r="BK164" s="58"/>
      <c r="BL164" s="15">
        <v>2.7600000000000002</v>
      </c>
      <c r="BM164" s="12">
        <v>10624.66</v>
      </c>
      <c r="BN164" s="15">
        <v>3.24</v>
      </c>
      <c r="BO164" s="12">
        <v>4212.75</v>
      </c>
      <c r="BP164" s="15">
        <v>3.7199999999999998</v>
      </c>
      <c r="BQ164" s="12">
        <v>1128.18</v>
      </c>
      <c r="BR164" s="15">
        <v>2.16</v>
      </c>
      <c r="BS164" s="9">
        <v>159.15</v>
      </c>
      <c r="BT164" s="6"/>
      <c r="BU164" s="6"/>
      <c r="BV164" s="84"/>
      <c r="BW164" s="84"/>
      <c r="BX164" s="84"/>
    </row>
    <row r="165" spans="1:76" x14ac:dyDescent="0.2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3">
        <v>34946.128000716744</v>
      </c>
      <c r="AN165" s="52">
        <v>93052.284527868804</v>
      </c>
      <c r="AO165" s="52">
        <v>61305.090570874258</v>
      </c>
      <c r="AP165" s="52">
        <v>45756.765291125645</v>
      </c>
      <c r="AQ165" s="52">
        <v>15548.325279748606</v>
      </c>
      <c r="AR165" s="52">
        <v>31093.203121045699</v>
      </c>
      <c r="AS165" s="52">
        <v>653.99083594884985</v>
      </c>
      <c r="AT165" s="52">
        <v>4960.2003480172007</v>
      </c>
      <c r="AU165" s="52">
        <v>14670.709004354576</v>
      </c>
      <c r="AV165" s="52">
        <v>910.36249999999995</v>
      </c>
      <c r="AW165" s="52">
        <v>13077.864493782527</v>
      </c>
      <c r="AX165" s="52">
        <v>46.481999999999999</v>
      </c>
      <c r="AY165" s="53">
        <v>135415.3378871748</v>
      </c>
      <c r="AZ165" s="52">
        <v>15807.07537204355</v>
      </c>
      <c r="BA165" s="52">
        <v>7564.2091580980023</v>
      </c>
      <c r="BB165" s="52">
        <v>34131.75939106445</v>
      </c>
      <c r="BC165" s="52">
        <v>336.63620116005001</v>
      </c>
      <c r="BD165" s="52">
        <v>481.65126499999997</v>
      </c>
      <c r="BE165" s="52">
        <v>24246.100496030998</v>
      </c>
      <c r="BF165" s="52">
        <v>19741.802932610433</v>
      </c>
      <c r="BG165" s="52">
        <v>1262.8169444999999</v>
      </c>
      <c r="BH165" s="52">
        <v>7331.9821656976419</v>
      </c>
      <c r="BI165" s="52">
        <v>496.25077667103272</v>
      </c>
      <c r="BJ165" s="53">
        <v>231159.15670531365</v>
      </c>
      <c r="BK165" s="58"/>
      <c r="BL165" s="15">
        <v>2.88</v>
      </c>
      <c r="BM165" s="12">
        <v>8776.01</v>
      </c>
      <c r="BN165" s="15">
        <v>3.24</v>
      </c>
      <c r="BO165" s="12">
        <v>3026.97</v>
      </c>
      <c r="BP165" s="15">
        <v>3.5999999999999996</v>
      </c>
      <c r="BQ165" s="12">
        <v>647.80999999999995</v>
      </c>
      <c r="BR165" s="15">
        <v>4.1999999999999993</v>
      </c>
      <c r="BS165" s="9">
        <v>135.78</v>
      </c>
      <c r="BT165" s="6"/>
      <c r="BU165" s="6"/>
      <c r="BV165" s="84"/>
      <c r="BW165" s="84"/>
      <c r="BX165" s="84"/>
    </row>
    <row r="166" spans="1:76" x14ac:dyDescent="0.2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3">
        <v>35241.785775524004</v>
      </c>
      <c r="AN166" s="52">
        <v>93672.645799875201</v>
      </c>
      <c r="AO166" s="52">
        <v>61243.436475631483</v>
      </c>
      <c r="AP166" s="52">
        <v>45757.6957814993</v>
      </c>
      <c r="AQ166" s="52">
        <v>15485.740694132182</v>
      </c>
      <c r="AR166" s="52">
        <v>31764.533750094812</v>
      </c>
      <c r="AS166" s="52">
        <v>664.67557414890484</v>
      </c>
      <c r="AT166" s="52">
        <v>4988.6281962663807</v>
      </c>
      <c r="AU166" s="52">
        <v>14751.362777445023</v>
      </c>
      <c r="AV166" s="52">
        <v>912.47649999999999</v>
      </c>
      <c r="AW166" s="52">
        <v>13002.374941947208</v>
      </c>
      <c r="AX166" s="52">
        <v>45.651499999999999</v>
      </c>
      <c r="AY166" s="53">
        <v>136518.87260716344</v>
      </c>
      <c r="AZ166" s="52">
        <v>15985.30993153686</v>
      </c>
      <c r="BA166" s="52">
        <v>7249.8030729605698</v>
      </c>
      <c r="BB166" s="52">
        <v>34389.673245376376</v>
      </c>
      <c r="BC166" s="52">
        <v>337.58297805633333</v>
      </c>
      <c r="BD166" s="52">
        <v>476.38869249999999</v>
      </c>
      <c r="BE166" s="52">
        <v>24349.800728530998</v>
      </c>
      <c r="BF166" s="52">
        <v>20185.455717699246</v>
      </c>
      <c r="BG166" s="52">
        <v>1282.2899305000001</v>
      </c>
      <c r="BH166" s="52">
        <v>7481.5729231930154</v>
      </c>
      <c r="BI166" s="52">
        <v>498.2199625277612</v>
      </c>
      <c r="BJ166" s="53">
        <v>232795.38401860307</v>
      </c>
      <c r="BK166" s="58"/>
      <c r="BL166" s="15">
        <v>2.88</v>
      </c>
      <c r="BM166" s="12">
        <v>10814.36</v>
      </c>
      <c r="BN166" s="15">
        <v>3.24</v>
      </c>
      <c r="BO166" s="12">
        <v>4921.38</v>
      </c>
      <c r="BP166" s="15">
        <v>3.5999999999999996</v>
      </c>
      <c r="BQ166" s="12">
        <v>1555.03</v>
      </c>
      <c r="BR166" s="15">
        <v>4.32</v>
      </c>
      <c r="BS166" s="9">
        <v>27.45</v>
      </c>
      <c r="BT166" s="6"/>
      <c r="BU166" s="6"/>
      <c r="BV166" s="84"/>
      <c r="BW166" s="84"/>
      <c r="BX166" s="84"/>
    </row>
    <row r="167" spans="1:76" x14ac:dyDescent="0.2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3">
        <v>36000.071321319803</v>
      </c>
      <c r="AN167" s="52">
        <v>95104.008451327754</v>
      </c>
      <c r="AO167" s="52">
        <v>61700.754411701928</v>
      </c>
      <c r="AP167" s="52">
        <v>46383.762973682962</v>
      </c>
      <c r="AQ167" s="52">
        <v>15316.991438018962</v>
      </c>
      <c r="AR167" s="52">
        <v>32702.310335048634</v>
      </c>
      <c r="AS167" s="52">
        <v>700.94370457723858</v>
      </c>
      <c r="AT167" s="52">
        <v>5026.6813112628079</v>
      </c>
      <c r="AU167" s="52">
        <v>16664.590916282512</v>
      </c>
      <c r="AV167" s="52">
        <v>946.93799999999999</v>
      </c>
      <c r="AW167" s="52">
        <v>14956.250324294189</v>
      </c>
      <c r="AX167" s="52">
        <v>87.026999999999987</v>
      </c>
      <c r="AY167" s="53">
        <v>138699.01267589867</v>
      </c>
      <c r="AZ167" s="52">
        <v>16117.819790441241</v>
      </c>
      <c r="BA167" s="52">
        <v>7089.2385525668114</v>
      </c>
      <c r="BB167" s="52">
        <v>35024.572153196335</v>
      </c>
      <c r="BC167" s="52">
        <v>326.48374489709522</v>
      </c>
      <c r="BD167" s="52">
        <v>462.50742750000001</v>
      </c>
      <c r="BE167" s="52">
        <v>24654.687236710997</v>
      </c>
      <c r="BF167" s="52">
        <v>20852.553580988355</v>
      </c>
      <c r="BG167" s="52">
        <v>1312.9482129999999</v>
      </c>
      <c r="BH167" s="52">
        <v>7465.6671530681142</v>
      </c>
      <c r="BI167" s="52">
        <v>502.63968368751262</v>
      </c>
      <c r="BJ167" s="53">
        <v>236571.51653844395</v>
      </c>
      <c r="BK167" s="58"/>
      <c r="BL167" s="15">
        <v>2.88</v>
      </c>
      <c r="BM167" s="12">
        <v>12428.2</v>
      </c>
      <c r="BN167" s="15">
        <v>3.24</v>
      </c>
      <c r="BO167" s="12">
        <v>4613.8999999999996</v>
      </c>
      <c r="BP167" s="15">
        <v>3.4799999999999995</v>
      </c>
      <c r="BQ167" s="12">
        <v>1070.0899999999999</v>
      </c>
      <c r="BR167" s="15">
        <v>3.5999999999999996</v>
      </c>
      <c r="BS167" s="9">
        <v>0.01</v>
      </c>
      <c r="BT167" s="6"/>
      <c r="BU167" s="6"/>
      <c r="BV167" s="84"/>
      <c r="BW167" s="84"/>
      <c r="BX167" s="84"/>
    </row>
    <row r="168" spans="1:76" x14ac:dyDescent="0.2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3">
        <v>36561.837510442267</v>
      </c>
      <c r="AN168" s="52">
        <v>95600.093929769471</v>
      </c>
      <c r="AO168" s="52">
        <v>61931.927049584345</v>
      </c>
      <c r="AP168" s="52">
        <v>47008.788579657041</v>
      </c>
      <c r="AQ168" s="52">
        <v>14923.1384699273</v>
      </c>
      <c r="AR168" s="52">
        <v>32958.799651295201</v>
      </c>
      <c r="AS168" s="52">
        <v>709.36722888995246</v>
      </c>
      <c r="AT168" s="52">
        <v>5078.5930079316186</v>
      </c>
      <c r="AU168" s="52">
        <v>19022.521263929801</v>
      </c>
      <c r="AV168" s="52">
        <v>972.79649999999992</v>
      </c>
      <c r="AW168" s="52">
        <v>17147.653697186321</v>
      </c>
      <c r="AX168" s="52">
        <v>92.86999999999999</v>
      </c>
      <c r="AY168" s="53">
        <v>139995.31851488687</v>
      </c>
      <c r="AZ168" s="52">
        <v>15861.482329879762</v>
      </c>
      <c r="BA168" s="52">
        <v>7166.7582773604281</v>
      </c>
      <c r="BB168" s="52">
        <v>35811.994044766143</v>
      </c>
      <c r="BC168" s="52">
        <v>326.39542105247619</v>
      </c>
      <c r="BD168" s="52">
        <v>448.43174999999997</v>
      </c>
      <c r="BE168" s="52">
        <v>25285.805086296001</v>
      </c>
      <c r="BF168" s="52">
        <v>21571.68987715722</v>
      </c>
      <c r="BG168" s="52">
        <v>1331.7652709999998</v>
      </c>
      <c r="BH168" s="52">
        <v>7863.1180946399991</v>
      </c>
      <c r="BI168" s="52">
        <v>513.34402117135085</v>
      </c>
      <c r="BJ168" s="53">
        <v>239423.17845658754</v>
      </c>
      <c r="BK168" s="58"/>
      <c r="BL168" s="15">
        <v>3</v>
      </c>
      <c r="BM168" s="12">
        <v>12567.69</v>
      </c>
      <c r="BN168" s="15">
        <v>3.12</v>
      </c>
      <c r="BO168" s="12">
        <v>6022.4</v>
      </c>
      <c r="BP168" s="15">
        <v>3.4799999999999995</v>
      </c>
      <c r="BQ168" s="12">
        <v>1324.14</v>
      </c>
      <c r="BR168" s="15">
        <v>2.7600000000000002</v>
      </c>
      <c r="BS168" s="9">
        <v>0.06</v>
      </c>
      <c r="BT168" s="6"/>
      <c r="BU168" s="6"/>
      <c r="BV168" s="84"/>
      <c r="BW168" s="84"/>
      <c r="BX168" s="84"/>
    </row>
    <row r="169" spans="1:76" x14ac:dyDescent="0.2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3">
        <v>36833.296534568042</v>
      </c>
      <c r="AN169" s="52">
        <v>95743.561897681444</v>
      </c>
      <c r="AO169" s="52">
        <v>61777.254949464565</v>
      </c>
      <c r="AP169" s="52">
        <v>47386.716424716258</v>
      </c>
      <c r="AQ169" s="52">
        <v>14390.538524748308</v>
      </c>
      <c r="AR169" s="52">
        <v>33278.626104617324</v>
      </c>
      <c r="AS169" s="52">
        <v>687.68084359949967</v>
      </c>
      <c r="AT169" s="52">
        <v>5139.6372504965511</v>
      </c>
      <c r="AU169" s="52">
        <v>17698.607558871528</v>
      </c>
      <c r="AV169" s="52">
        <v>968.85050000000001</v>
      </c>
      <c r="AW169" s="52">
        <v>16093.073263780407</v>
      </c>
      <c r="AX169" s="52">
        <v>60.426000000000002</v>
      </c>
      <c r="AY169" s="53">
        <v>140230.45447783713</v>
      </c>
      <c r="AZ169" s="52">
        <v>16808.960938870547</v>
      </c>
      <c r="BA169" s="52">
        <v>7201.9565392205996</v>
      </c>
      <c r="BB169" s="52">
        <v>36571.941941514451</v>
      </c>
      <c r="BC169" s="52">
        <v>327.45199864900002</v>
      </c>
      <c r="BD169" s="52">
        <v>417.6785625</v>
      </c>
      <c r="BE169" s="52">
        <v>25818.597677584999</v>
      </c>
      <c r="BF169" s="52">
        <v>22324.097354542828</v>
      </c>
      <c r="BG169" s="52">
        <v>1359.3689704999999</v>
      </c>
      <c r="BH169" s="52">
        <v>7985.5513019729515</v>
      </c>
      <c r="BI169" s="52">
        <v>524.48364354961177</v>
      </c>
      <c r="BJ169" s="53">
        <v>242550.473515697</v>
      </c>
      <c r="BK169" s="58"/>
      <c r="BL169" s="15">
        <v>2.64</v>
      </c>
      <c r="BM169" s="12">
        <v>12173.27</v>
      </c>
      <c r="BN169" s="15">
        <v>2.88</v>
      </c>
      <c r="BO169" s="12">
        <v>4349.55</v>
      </c>
      <c r="BP169" s="15">
        <v>3</v>
      </c>
      <c r="BQ169" s="12">
        <v>391.64</v>
      </c>
      <c r="BR169" s="15">
        <v>3.5999999999999996</v>
      </c>
      <c r="BS169" s="9">
        <v>28.03</v>
      </c>
      <c r="BT169" s="6"/>
      <c r="BU169" s="6"/>
      <c r="BV169" s="84"/>
      <c r="BW169" s="84"/>
      <c r="BX169" s="84"/>
    </row>
    <row r="170" spans="1:76" x14ac:dyDescent="0.2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3">
        <v>36952.870845994985</v>
      </c>
      <c r="AN170" s="52">
        <v>96256.871585377739</v>
      </c>
      <c r="AO170" s="52">
        <v>61460.849305878219</v>
      </c>
      <c r="AP170" s="52">
        <v>47331.025244853248</v>
      </c>
      <c r="AQ170" s="52">
        <v>14129.82406102497</v>
      </c>
      <c r="AR170" s="52">
        <v>34120.978257305651</v>
      </c>
      <c r="AS170" s="52">
        <v>675.04402219381757</v>
      </c>
      <c r="AT170" s="52">
        <v>5180.307108323228</v>
      </c>
      <c r="AU170" s="52">
        <v>15719.124669433098</v>
      </c>
      <c r="AV170" s="52">
        <v>963.72299999999996</v>
      </c>
      <c r="AW170" s="52">
        <v>14509.930690723004</v>
      </c>
      <c r="AX170" s="52">
        <v>57.045000000000002</v>
      </c>
      <c r="AY170" s="53">
        <v>140505.92151840607</v>
      </c>
      <c r="AZ170" s="52">
        <v>16764.259523181772</v>
      </c>
      <c r="BA170" s="52">
        <v>7168.289821437409</v>
      </c>
      <c r="BB170" s="52">
        <v>36445.120776185278</v>
      </c>
      <c r="BC170" s="52">
        <v>315.38836300631817</v>
      </c>
      <c r="BD170" s="52">
        <v>410.42987400000004</v>
      </c>
      <c r="BE170" s="52">
        <v>26168.770848</v>
      </c>
      <c r="BF170" s="52">
        <v>23177.257269879065</v>
      </c>
      <c r="BG170" s="52">
        <v>1416.6795354999999</v>
      </c>
      <c r="BH170" s="52">
        <v>7824.9689270698</v>
      </c>
      <c r="BI170" s="52">
        <v>547.15707644767315</v>
      </c>
      <c r="BJ170" s="53">
        <v>243999.99152607846</v>
      </c>
      <c r="BK170" s="58"/>
      <c r="BL170" s="15">
        <v>2.52</v>
      </c>
      <c r="BM170" s="12">
        <v>13506.11</v>
      </c>
      <c r="BN170" s="15">
        <v>2.64</v>
      </c>
      <c r="BO170" s="12">
        <v>4170.66</v>
      </c>
      <c r="BP170" s="15">
        <v>2.7600000000000002</v>
      </c>
      <c r="BQ170" s="12">
        <v>803.13</v>
      </c>
      <c r="BR170" s="15">
        <v>2.88</v>
      </c>
      <c r="BS170" s="9">
        <v>60.49</v>
      </c>
      <c r="BT170" s="6"/>
      <c r="BU170" s="6"/>
      <c r="BV170" s="84"/>
      <c r="BW170" s="84"/>
      <c r="BX170" s="84"/>
    </row>
    <row r="171" spans="1:76" x14ac:dyDescent="0.2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3">
        <v>37029.469044710102</v>
      </c>
      <c r="AN171" s="52">
        <v>97871.627915763907</v>
      </c>
      <c r="AO171" s="52">
        <v>61715.87253276023</v>
      </c>
      <c r="AP171" s="52">
        <v>47667.754067627444</v>
      </c>
      <c r="AQ171" s="52">
        <v>14048.118465132786</v>
      </c>
      <c r="AR171" s="52">
        <v>35254.375707120234</v>
      </c>
      <c r="AS171" s="52">
        <v>901.37967588342838</v>
      </c>
      <c r="AT171" s="52">
        <v>5199.3747688782387</v>
      </c>
      <c r="AU171" s="52">
        <v>17899.556172900953</v>
      </c>
      <c r="AV171" s="52">
        <v>949.60599999999999</v>
      </c>
      <c r="AW171" s="52">
        <v>16547.407999025138</v>
      </c>
      <c r="AX171" s="52">
        <v>46.825500000000005</v>
      </c>
      <c r="AY171" s="53">
        <v>142355.40040322806</v>
      </c>
      <c r="AZ171" s="52">
        <v>16606.847418507048</v>
      </c>
      <c r="BA171" s="52">
        <v>6694.3733212708084</v>
      </c>
      <c r="BB171" s="52">
        <v>37001.915274218001</v>
      </c>
      <c r="BC171" s="52">
        <v>314.18676174885712</v>
      </c>
      <c r="BD171" s="52">
        <v>424.860342</v>
      </c>
      <c r="BE171" s="52">
        <v>26511.3015919315</v>
      </c>
      <c r="BF171" s="52">
        <v>24180.49620161748</v>
      </c>
      <c r="BG171" s="52">
        <v>1468.1838805000002</v>
      </c>
      <c r="BH171" s="52">
        <v>8093.2931319416748</v>
      </c>
      <c r="BI171" s="52">
        <v>585.54072058591362</v>
      </c>
      <c r="BJ171" s="53">
        <v>246878.73134249417</v>
      </c>
      <c r="BK171" s="58"/>
      <c r="BL171" s="15">
        <v>2.41</v>
      </c>
      <c r="BM171" s="12">
        <v>12420</v>
      </c>
      <c r="BN171" s="15">
        <v>2.4300000000000002</v>
      </c>
      <c r="BO171" s="12">
        <v>6627.25</v>
      </c>
      <c r="BP171" s="15">
        <v>2.42</v>
      </c>
      <c r="BQ171" s="12">
        <v>853.17</v>
      </c>
      <c r="BR171" s="15">
        <v>2.2800000000000002</v>
      </c>
      <c r="BS171" s="9">
        <v>50</v>
      </c>
      <c r="BT171" s="6"/>
      <c r="BU171" s="6"/>
      <c r="BV171" s="84"/>
      <c r="BW171" s="84"/>
      <c r="BX171" s="84"/>
    </row>
    <row r="172" spans="1:76" x14ac:dyDescent="0.2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3">
        <v>38363.226717045603</v>
      </c>
      <c r="AN172" s="52">
        <v>98955.35130714011</v>
      </c>
      <c r="AO172" s="52">
        <v>61817.899987184872</v>
      </c>
      <c r="AP172" s="52">
        <v>48152.915655359269</v>
      </c>
      <c r="AQ172" s="52">
        <v>13664.984331825599</v>
      </c>
      <c r="AR172" s="52">
        <v>36026.649586112217</v>
      </c>
      <c r="AS172" s="52">
        <v>1110.8017338429997</v>
      </c>
      <c r="AT172" s="52">
        <v>5238.2964339552782</v>
      </c>
      <c r="AU172" s="52">
        <v>17922.556044649624</v>
      </c>
      <c r="AV172" s="52">
        <v>952.87699999999995</v>
      </c>
      <c r="AW172" s="52">
        <v>17041.065094768008</v>
      </c>
      <c r="AX172" s="52">
        <v>49.751000000000005</v>
      </c>
      <c r="AY172" s="53">
        <v>144341.49140802262</v>
      </c>
      <c r="AZ172" s="52">
        <v>17317.96432382883</v>
      </c>
      <c r="BA172" s="52">
        <v>5489.8409187759999</v>
      </c>
      <c r="BB172" s="52">
        <v>37236.337393521331</v>
      </c>
      <c r="BC172" s="52">
        <v>314.51492031972225</v>
      </c>
      <c r="BD172" s="52">
        <v>401.86801800000001</v>
      </c>
      <c r="BE172" s="52">
        <v>26803.7521594315</v>
      </c>
      <c r="BF172" s="52">
        <v>25122.170578743637</v>
      </c>
      <c r="BG172" s="52">
        <v>1515.7430939999999</v>
      </c>
      <c r="BH172" s="52">
        <v>7995.4638508233129</v>
      </c>
      <c r="BI172" s="52">
        <v>609.03997029087793</v>
      </c>
      <c r="BJ172" s="53">
        <v>249939.17899352947</v>
      </c>
      <c r="BK172" s="58"/>
      <c r="BL172" s="15">
        <v>2.04</v>
      </c>
      <c r="BM172" s="12">
        <v>11515.62</v>
      </c>
      <c r="BN172" s="15">
        <v>2.12</v>
      </c>
      <c r="BO172" s="12">
        <v>4596.47</v>
      </c>
      <c r="BP172" s="15">
        <v>2.2200000000000002</v>
      </c>
      <c r="BQ172" s="12">
        <v>661.04</v>
      </c>
      <c r="BR172" s="15">
        <v>2.29</v>
      </c>
      <c r="BS172" s="9">
        <v>6.52</v>
      </c>
      <c r="BT172" s="6"/>
      <c r="BU172" s="6"/>
      <c r="BV172" s="84"/>
      <c r="BW172" s="84"/>
      <c r="BX172" s="84"/>
    </row>
    <row r="173" spans="1:76" x14ac:dyDescent="0.2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3">
        <v>39019.270590510416</v>
      </c>
      <c r="AN173" s="52">
        <v>99016.991667701732</v>
      </c>
      <c r="AO173" s="52">
        <v>62025.434491056629</v>
      </c>
      <c r="AP173" s="52">
        <v>47774.300823315389</v>
      </c>
      <c r="AQ173" s="52">
        <v>14251.133667741242</v>
      </c>
      <c r="AR173" s="52">
        <v>35845.670130584396</v>
      </c>
      <c r="AS173" s="52">
        <v>1145.8870460606815</v>
      </c>
      <c r="AT173" s="52">
        <v>5293.0284835758648</v>
      </c>
      <c r="AU173" s="52">
        <v>18197.038661629347</v>
      </c>
      <c r="AV173" s="52">
        <v>952.63499999999999</v>
      </c>
      <c r="AW173" s="52">
        <v>17396.149515309473</v>
      </c>
      <c r="AX173" s="52">
        <v>51.958500000000001</v>
      </c>
      <c r="AY173" s="53">
        <v>145030.85638810787</v>
      </c>
      <c r="AZ173" s="52">
        <v>17521.224761923866</v>
      </c>
      <c r="BA173" s="52">
        <v>6067.339024357364</v>
      </c>
      <c r="BB173" s="52">
        <v>36998.505171741956</v>
      </c>
      <c r="BC173" s="52">
        <v>303.25089909468181</v>
      </c>
      <c r="BD173" s="52">
        <v>384.174328</v>
      </c>
      <c r="BE173" s="52">
        <v>27158.201173975998</v>
      </c>
      <c r="BF173" s="52">
        <v>24900.076027963234</v>
      </c>
      <c r="BG173" s="52">
        <v>1540.8658335</v>
      </c>
      <c r="BH173" s="52">
        <v>7997.9175542657449</v>
      </c>
      <c r="BI173" s="52">
        <v>604.18081082603499</v>
      </c>
      <c r="BJ173" s="53">
        <v>251302.39524357318</v>
      </c>
      <c r="BK173" s="58"/>
      <c r="BL173" s="15">
        <v>1.99</v>
      </c>
      <c r="BM173" s="12">
        <v>12540.22</v>
      </c>
      <c r="BN173" s="15">
        <v>2.08</v>
      </c>
      <c r="BO173" s="12">
        <v>5055.42</v>
      </c>
      <c r="BP173" s="15">
        <v>2.14</v>
      </c>
      <c r="BQ173" s="12">
        <v>1936.01</v>
      </c>
      <c r="BR173" s="15">
        <v>2.79</v>
      </c>
      <c r="BS173" s="9">
        <v>43.3</v>
      </c>
      <c r="BT173" s="6"/>
      <c r="BU173" s="6"/>
      <c r="BV173" s="84"/>
      <c r="BW173" s="84"/>
      <c r="BX173" s="84"/>
    </row>
    <row r="174" spans="1:76" x14ac:dyDescent="0.2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3">
        <v>40773.017282024302</v>
      </c>
      <c r="AN174" s="52">
        <v>100490.71829694319</v>
      </c>
      <c r="AO174" s="52">
        <v>63702.356877011873</v>
      </c>
      <c r="AP174" s="52">
        <v>48636.991488648251</v>
      </c>
      <c r="AQ174" s="52">
        <v>15065.36538836362</v>
      </c>
      <c r="AR174" s="52">
        <v>35545.904475398027</v>
      </c>
      <c r="AS174" s="52">
        <v>1242.4569445330978</v>
      </c>
      <c r="AT174" s="52">
        <v>5302.4180910612995</v>
      </c>
      <c r="AU174" s="52">
        <v>21513.165137011147</v>
      </c>
      <c r="AV174" s="52">
        <v>965.87950000000001</v>
      </c>
      <c r="AW174" s="52">
        <v>20043.072087494471</v>
      </c>
      <c r="AX174" s="52">
        <v>73.852999999999994</v>
      </c>
      <c r="AY174" s="53">
        <v>148928.27321954546</v>
      </c>
      <c r="AZ174" s="52">
        <v>19162.283446709749</v>
      </c>
      <c r="BA174" s="52">
        <v>5694.8057566645484</v>
      </c>
      <c r="BB174" s="52">
        <v>36230.685364987708</v>
      </c>
      <c r="BC174" s="52">
        <v>303.73584421540005</v>
      </c>
      <c r="BD174" s="52">
        <v>390.82653749999997</v>
      </c>
      <c r="BE174" s="52">
        <v>27430.158767975998</v>
      </c>
      <c r="BF174" s="52">
        <v>22623.797752821287</v>
      </c>
      <c r="BG174" s="52">
        <v>1535.5270234999998</v>
      </c>
      <c r="BH174" s="52">
        <v>7561.4494533412426</v>
      </c>
      <c r="BI174" s="52">
        <v>572.50296947512709</v>
      </c>
      <c r="BJ174" s="53">
        <v>254166.14129110376</v>
      </c>
      <c r="BK174" s="58"/>
      <c r="BL174" s="15">
        <v>2.09</v>
      </c>
      <c r="BM174" s="12">
        <v>11728.6</v>
      </c>
      <c r="BN174" s="15">
        <v>2.2000000000000002</v>
      </c>
      <c r="BO174" s="12">
        <v>7300.98</v>
      </c>
      <c r="BP174" s="15">
        <v>2.44</v>
      </c>
      <c r="BQ174" s="12">
        <v>1430.94</v>
      </c>
      <c r="BR174" s="15"/>
      <c r="BS174" s="9"/>
      <c r="BU174" s="6"/>
      <c r="BV174" s="84"/>
      <c r="BW174" s="84"/>
      <c r="BX174" s="84"/>
    </row>
    <row r="175" spans="1:76" x14ac:dyDescent="0.2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3">
        <v>42470.983629495851</v>
      </c>
      <c r="AN175" s="52">
        <v>101615.12579839611</v>
      </c>
      <c r="AO175" s="52">
        <v>64520.126146865376</v>
      </c>
      <c r="AP175" s="52">
        <v>49426.977010749368</v>
      </c>
      <c r="AQ175" s="52">
        <v>15093.14913611601</v>
      </c>
      <c r="AR175" s="52">
        <v>35726.026135998523</v>
      </c>
      <c r="AS175" s="52">
        <v>1368.9735155320986</v>
      </c>
      <c r="AT175" s="52">
        <v>5354.2280485528499</v>
      </c>
      <c r="AU175" s="52">
        <v>22583.535371006354</v>
      </c>
      <c r="AV175" s="52">
        <v>984.24199999999996</v>
      </c>
      <c r="AW175" s="52">
        <v>21133.928862587869</v>
      </c>
      <c r="AX175" s="52">
        <v>89.54249999999999</v>
      </c>
      <c r="AY175" s="53">
        <v>151784.64348486328</v>
      </c>
      <c r="AZ175" s="52">
        <v>21148.9457907455</v>
      </c>
      <c r="BA175" s="52">
        <v>3192.7630701227004</v>
      </c>
      <c r="BB175" s="52">
        <v>36136.126586734252</v>
      </c>
      <c r="BC175" s="52">
        <v>306.91425982240003</v>
      </c>
      <c r="BD175" s="52">
        <v>378.35297750000001</v>
      </c>
      <c r="BE175" s="52">
        <v>27550.7101325</v>
      </c>
      <c r="BF175" s="52">
        <v>21163.279006060075</v>
      </c>
      <c r="BG175" s="52">
        <v>1524.2611605</v>
      </c>
      <c r="BH175" s="52">
        <v>6763.1218852527509</v>
      </c>
      <c r="BI175" s="52">
        <v>567.29881327964779</v>
      </c>
      <c r="BJ175" s="53">
        <v>255855.5757703158</v>
      </c>
      <c r="BK175" s="58"/>
      <c r="BL175" s="15">
        <v>1.97</v>
      </c>
      <c r="BM175" s="12">
        <v>10903.18</v>
      </c>
      <c r="BN175" s="15">
        <v>2.21</v>
      </c>
      <c r="BO175" s="12">
        <v>4302.87</v>
      </c>
      <c r="BP175" s="15">
        <v>2.5499999999999998</v>
      </c>
      <c r="BQ175" s="12">
        <v>931.75</v>
      </c>
      <c r="BR175" s="15"/>
      <c r="BS175" s="9"/>
      <c r="BU175" s="6"/>
      <c r="BV175" s="84"/>
      <c r="BW175" s="84"/>
      <c r="BX175" s="84"/>
    </row>
    <row r="176" spans="1:76" x14ac:dyDescent="0.2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3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3">
        <v>42020.674024806074</v>
      </c>
      <c r="AN176" s="52">
        <v>101258.81096351803</v>
      </c>
      <c r="AO176" s="52">
        <v>63950.106917158388</v>
      </c>
      <c r="AP176" s="52">
        <v>48233.592271126581</v>
      </c>
      <c r="AQ176" s="52">
        <v>15716.514646031812</v>
      </c>
      <c r="AR176" s="52">
        <v>35943.840585615209</v>
      </c>
      <c r="AS176" s="52">
        <v>1364.8634607444087</v>
      </c>
      <c r="AT176" s="52">
        <v>5399.6433172336374</v>
      </c>
      <c r="AU176" s="52">
        <v>22845.685757665153</v>
      </c>
      <c r="AV176" s="52">
        <v>986.95499999999993</v>
      </c>
      <c r="AW176" s="52">
        <v>21569.280020116235</v>
      </c>
      <c r="AX176" s="52">
        <v>76.902000000000001</v>
      </c>
      <c r="AY176" s="53">
        <v>150865.58704310667</v>
      </c>
      <c r="AZ176" s="52">
        <v>21230.718721457408</v>
      </c>
      <c r="BA176" s="52">
        <v>3243.5441051349549</v>
      </c>
      <c r="BB176" s="52">
        <v>35916.704890379282</v>
      </c>
      <c r="BC176" s="52">
        <v>288.57036018804547</v>
      </c>
      <c r="BD176" s="52">
        <v>375.22551399999998</v>
      </c>
      <c r="BE176" s="52">
        <v>27892.209748000001</v>
      </c>
      <c r="BF176" s="52">
        <v>21947.795040156008</v>
      </c>
      <c r="BG176" s="52">
        <v>1539.8955814999999</v>
      </c>
      <c r="BH176" s="52">
        <v>6861.3074300857561</v>
      </c>
      <c r="BI176" s="52">
        <v>587.17576360341275</v>
      </c>
      <c r="BJ176" s="53">
        <v>255851.7678102332</v>
      </c>
      <c r="BK176" s="58"/>
      <c r="BL176" s="15">
        <v>1.86</v>
      </c>
      <c r="BM176" s="12">
        <v>9146.73</v>
      </c>
      <c r="BN176" s="15">
        <v>2.0099999999999998</v>
      </c>
      <c r="BO176" s="12">
        <v>6743.85</v>
      </c>
      <c r="BP176" s="15">
        <v>2.4300000000000002</v>
      </c>
      <c r="BQ176" s="12">
        <v>1163.3900000000001</v>
      </c>
      <c r="BR176" s="15"/>
      <c r="BS176" s="9"/>
      <c r="BT176" s="6"/>
      <c r="BU176" s="6"/>
      <c r="BV176" s="84"/>
      <c r="BW176" s="84"/>
      <c r="BX176" s="84"/>
    </row>
    <row r="177" spans="1:76" x14ac:dyDescent="0.2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3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3">
        <v>41994.725128491249</v>
      </c>
      <c r="AN177" s="52">
        <v>101408.0586377687</v>
      </c>
      <c r="AO177" s="52">
        <v>63705.740367152328</v>
      </c>
      <c r="AP177" s="52">
        <v>48217.679861387398</v>
      </c>
      <c r="AQ177" s="52">
        <v>15488.060505764926</v>
      </c>
      <c r="AR177" s="52">
        <v>36342.783182290274</v>
      </c>
      <c r="AS177" s="52">
        <v>1359.5350883264132</v>
      </c>
      <c r="AT177" s="52">
        <v>5444.2558126946005</v>
      </c>
      <c r="AU177" s="52">
        <v>23588.499339677401</v>
      </c>
      <c r="AV177" s="52">
        <v>990.48599999999999</v>
      </c>
      <c r="AW177" s="52">
        <v>21972.052514425242</v>
      </c>
      <c r="AX177" s="52">
        <v>72.097999999999999</v>
      </c>
      <c r="AY177" s="53">
        <v>151381.87440420673</v>
      </c>
      <c r="AZ177" s="52">
        <v>22317.48107401685</v>
      </c>
      <c r="BA177" s="52">
        <v>3746.6648060597927</v>
      </c>
      <c r="BB177" s="52">
        <v>35656.904057295877</v>
      </c>
      <c r="BC177" s="52">
        <v>286.41262950945003</v>
      </c>
      <c r="BD177" s="52">
        <v>353.52868749999999</v>
      </c>
      <c r="BE177" s="52">
        <v>28491.374641793998</v>
      </c>
      <c r="BF177" s="52">
        <v>21766.455367462866</v>
      </c>
      <c r="BG177" s="52">
        <v>1543.803453</v>
      </c>
      <c r="BH177" s="52">
        <v>7117.4687409688304</v>
      </c>
      <c r="BI177" s="52">
        <v>578.98713369622078</v>
      </c>
      <c r="BJ177" s="53">
        <v>257848.04324618055</v>
      </c>
      <c r="BK177" s="58"/>
      <c r="BL177" s="15">
        <v>1.85</v>
      </c>
      <c r="BM177" s="12">
        <v>8265.27</v>
      </c>
      <c r="BN177" s="15">
        <v>2.06</v>
      </c>
      <c r="BO177" s="12">
        <v>4253.3</v>
      </c>
      <c r="BP177" s="15">
        <v>2.4900000000000002</v>
      </c>
      <c r="BQ177" s="12">
        <v>913.19</v>
      </c>
      <c r="BR177" s="15"/>
      <c r="BS177" s="9"/>
      <c r="BT177" s="6"/>
      <c r="BU177" s="6"/>
      <c r="BV177" s="84"/>
      <c r="BW177" s="84"/>
      <c r="BX177" s="84"/>
    </row>
    <row r="178" spans="1:76" x14ac:dyDescent="0.2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7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3">
        <v>43948.733896523503</v>
      </c>
      <c r="AN178" s="52">
        <v>100502.20437672507</v>
      </c>
      <c r="AO178" s="52">
        <v>65419.390867719056</v>
      </c>
      <c r="AP178" s="52">
        <v>50008.840935663378</v>
      </c>
      <c r="AQ178" s="52">
        <v>15410.549932055676</v>
      </c>
      <c r="AR178" s="52">
        <v>33647.581301585982</v>
      </c>
      <c r="AS178" s="52">
        <v>1435.2322074199715</v>
      </c>
      <c r="AT178" s="52">
        <v>5507.1319844026357</v>
      </c>
      <c r="AU178" s="52">
        <v>22866.21233063265</v>
      </c>
      <c r="AV178" s="52">
        <v>1019.6795</v>
      </c>
      <c r="AW178" s="52">
        <v>21463.580606304</v>
      </c>
      <c r="AX178" s="52">
        <v>131.73149999999998</v>
      </c>
      <c r="AY178" s="53">
        <v>152248.64998197986</v>
      </c>
      <c r="AZ178" s="52">
        <v>24269.520631377502</v>
      </c>
      <c r="BA178" s="52">
        <v>3613.5267826362474</v>
      </c>
      <c r="BB178" s="52">
        <v>34795.380650380728</v>
      </c>
      <c r="BC178" s="52">
        <v>288.49575340986365</v>
      </c>
      <c r="BD178" s="52">
        <v>312.45512450000001</v>
      </c>
      <c r="BE178" s="52">
        <v>28803.332238293995</v>
      </c>
      <c r="BF178" s="52">
        <v>19088.540467276074</v>
      </c>
      <c r="BG178" s="52">
        <v>1411.5658620000002</v>
      </c>
      <c r="BH178" s="52">
        <v>6377.2462993052477</v>
      </c>
      <c r="BI178" s="52">
        <v>549.46821275930881</v>
      </c>
      <c r="BJ178" s="53">
        <v>257904.75297978969</v>
      </c>
      <c r="BK178" s="58"/>
      <c r="BL178" s="15">
        <v>1.78</v>
      </c>
      <c r="BM178" s="12">
        <v>11757.81</v>
      </c>
      <c r="BN178" s="15">
        <v>2.11</v>
      </c>
      <c r="BO178" s="12">
        <v>5999.19</v>
      </c>
      <c r="BP178" s="15">
        <v>2.54</v>
      </c>
      <c r="BQ178" s="12">
        <v>1067.68</v>
      </c>
      <c r="BR178" s="15"/>
      <c r="BS178" s="9"/>
      <c r="BT178" s="6"/>
      <c r="BU178" s="6"/>
      <c r="BV178" s="84"/>
      <c r="BW178" s="84"/>
      <c r="BX178" s="84"/>
    </row>
    <row r="179" spans="1:76" x14ac:dyDescent="0.2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7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3">
        <v>47514.377715936469</v>
      </c>
      <c r="AN179" s="52">
        <v>99380.428820261528</v>
      </c>
      <c r="AO179" s="52">
        <v>66343.585460244314</v>
      </c>
      <c r="AP179" s="52">
        <v>51702.568379545119</v>
      </c>
      <c r="AQ179" s="52">
        <v>14641.017080699192</v>
      </c>
      <c r="AR179" s="52">
        <v>31586.31608733242</v>
      </c>
      <c r="AS179" s="52">
        <v>1450.5272726847611</v>
      </c>
      <c r="AT179" s="52">
        <v>5616.0302140838103</v>
      </c>
      <c r="AU179" s="52">
        <v>24090.431163777699</v>
      </c>
      <c r="AV179" s="52">
        <v>1043.325</v>
      </c>
      <c r="AW179" s="52">
        <v>22844.140800651287</v>
      </c>
      <c r="AX179" s="52">
        <v>175.6695</v>
      </c>
      <c r="AY179" s="53">
        <v>154624.7826134082</v>
      </c>
      <c r="AZ179" s="52">
        <v>25920.08745231781</v>
      </c>
      <c r="BA179" s="52">
        <v>2359.6718247302379</v>
      </c>
      <c r="BB179" s="52">
        <v>34403.094669473277</v>
      </c>
      <c r="BC179" s="52">
        <v>279.01185105133334</v>
      </c>
      <c r="BD179" s="52">
        <v>286.33682049999999</v>
      </c>
      <c r="BE179" s="52">
        <v>28850.851638499997</v>
      </c>
      <c r="BF179" s="52">
        <v>17707.663750713597</v>
      </c>
      <c r="BG179" s="52">
        <v>1356.6897255000001</v>
      </c>
      <c r="BH179" s="52">
        <v>6244.5449016881139</v>
      </c>
      <c r="BI179" s="52">
        <v>537.90972822522303</v>
      </c>
      <c r="BJ179" s="53">
        <v>259005.73571628111</v>
      </c>
      <c r="BK179" s="58"/>
      <c r="BL179" s="15">
        <v>0.71</v>
      </c>
      <c r="BM179" s="12">
        <v>10394.84</v>
      </c>
      <c r="BN179" s="15">
        <v>0.84</v>
      </c>
      <c r="BO179" s="12">
        <v>3678.89</v>
      </c>
      <c r="BP179" s="15">
        <v>1.49</v>
      </c>
      <c r="BQ179" s="12">
        <v>377.2</v>
      </c>
      <c r="BR179" s="15"/>
      <c r="BS179" s="9"/>
      <c r="BT179" s="6"/>
      <c r="BU179" s="6"/>
      <c r="BV179" s="84"/>
      <c r="BW179" s="84"/>
      <c r="BX179" s="84"/>
    </row>
    <row r="180" spans="1:76" x14ac:dyDescent="0.2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7">
        <v>2.78</v>
      </c>
      <c r="AB180" s="55">
        <v>410.38</v>
      </c>
      <c r="AC180" s="144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3">
        <v>49231.622151908479</v>
      </c>
      <c r="AN180" s="52">
        <v>96895.786393878559</v>
      </c>
      <c r="AO180" s="52">
        <v>63668.513956869232</v>
      </c>
      <c r="AP180" s="52">
        <v>49322.328892894133</v>
      </c>
      <c r="AQ180" s="52">
        <v>14346.185063975103</v>
      </c>
      <c r="AR180" s="52">
        <v>31766.883045270479</v>
      </c>
      <c r="AS180" s="52">
        <v>1460.3893917388955</v>
      </c>
      <c r="AT180" s="52">
        <v>5782.0590102631058</v>
      </c>
      <c r="AU180" s="52">
        <v>23976.248216135351</v>
      </c>
      <c r="AV180" s="52">
        <v>1050.9639999999999</v>
      </c>
      <c r="AW180" s="52">
        <v>22511.096403993342</v>
      </c>
      <c r="AX180" s="52">
        <v>115.49250000000001</v>
      </c>
      <c r="AY180" s="53">
        <v>154310.09086819217</v>
      </c>
      <c r="AZ180" s="52">
        <v>25791.592291086945</v>
      </c>
      <c r="BA180" s="52">
        <v>4773.7941113792958</v>
      </c>
      <c r="BB180" s="52">
        <v>34039.991027488941</v>
      </c>
      <c r="BC180" s="52">
        <v>278.25884479163159</v>
      </c>
      <c r="BD180" s="52">
        <v>249.960004</v>
      </c>
      <c r="BE180" s="52">
        <v>28881.043320999997</v>
      </c>
      <c r="BF180" s="52">
        <v>18614.354837220151</v>
      </c>
      <c r="BG180" s="52">
        <v>1443.188838</v>
      </c>
      <c r="BH180" s="52">
        <v>7202.0565183006747</v>
      </c>
      <c r="BI180" s="52">
        <v>572.68427019512171</v>
      </c>
      <c r="BJ180" s="53">
        <v>260607.53335466335</v>
      </c>
      <c r="BK180" s="58"/>
      <c r="BL180" s="15">
        <v>0.66</v>
      </c>
      <c r="BM180" s="12">
        <v>9203.07</v>
      </c>
      <c r="BN180" s="15">
        <v>0.53</v>
      </c>
      <c r="BO180" s="12">
        <v>4491.5200000000004</v>
      </c>
      <c r="BP180" s="15">
        <v>1.01</v>
      </c>
      <c r="BQ180" s="12">
        <v>290.27</v>
      </c>
      <c r="BR180" s="15"/>
      <c r="BS180" s="9"/>
      <c r="BU180" s="6"/>
      <c r="BV180" s="84"/>
      <c r="BW180" s="84"/>
      <c r="BX180" s="84"/>
    </row>
    <row r="181" spans="1:76" x14ac:dyDescent="0.2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90">
        <v>2.74</v>
      </c>
      <c r="Z181" s="9">
        <v>700.65</v>
      </c>
      <c r="AA181" s="97">
        <v>2.59</v>
      </c>
      <c r="AB181" s="55">
        <v>465.77</v>
      </c>
      <c r="AC181" s="144">
        <v>3.04</v>
      </c>
      <c r="AD181" s="55">
        <v>234.88</v>
      </c>
      <c r="AE181" s="90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3">
        <v>51483.437641801007</v>
      </c>
      <c r="AN181" s="52">
        <v>94402.022528450325</v>
      </c>
      <c r="AO181" s="52">
        <v>61346.647592602014</v>
      </c>
      <c r="AP181" s="52">
        <v>47267.665136068681</v>
      </c>
      <c r="AQ181" s="52">
        <v>14078.982456533329</v>
      </c>
      <c r="AR181" s="52">
        <v>31604.543227875896</v>
      </c>
      <c r="AS181" s="52">
        <v>1450.8317079723804</v>
      </c>
      <c r="AT181" s="52">
        <v>5928.4946274791428</v>
      </c>
      <c r="AU181" s="52">
        <v>21459.251567794901</v>
      </c>
      <c r="AV181" s="52">
        <v>1089.5215000000001</v>
      </c>
      <c r="AW181" s="52">
        <v>19570.858129034343</v>
      </c>
      <c r="AX181" s="52">
        <v>70.168999999999997</v>
      </c>
      <c r="AY181" s="53">
        <v>154721.70073649104</v>
      </c>
      <c r="AZ181" s="52">
        <v>24944.753257994093</v>
      </c>
      <c r="BA181" s="52">
        <v>8633.198159373329</v>
      </c>
      <c r="BB181" s="52">
        <v>34573.702615036673</v>
      </c>
      <c r="BC181" s="52">
        <v>278.59734137795238</v>
      </c>
      <c r="BD181" s="52">
        <v>186.52830750000001</v>
      </c>
      <c r="BE181" s="52">
        <v>29259.316735020999</v>
      </c>
      <c r="BF181" s="52">
        <v>19378.413417856173</v>
      </c>
      <c r="BG181" s="52">
        <v>1506.0853079999999</v>
      </c>
      <c r="BH181" s="52">
        <v>8066.7815964674464</v>
      </c>
      <c r="BI181" s="52">
        <v>595.81497399539478</v>
      </c>
      <c r="BJ181" s="53">
        <v>264819.69930818741</v>
      </c>
      <c r="BK181" s="58"/>
      <c r="BL181" s="15">
        <v>0.56999999999999995</v>
      </c>
      <c r="BM181" s="12">
        <v>9641.7800000000007</v>
      </c>
      <c r="BN181" s="15">
        <v>0.42</v>
      </c>
      <c r="BO181" s="12">
        <v>2930.36</v>
      </c>
      <c r="BP181" s="15">
        <v>0.81</v>
      </c>
      <c r="BQ181" s="12">
        <v>469.88</v>
      </c>
      <c r="BR181" s="15"/>
      <c r="BS181" s="9"/>
      <c r="BU181" s="6"/>
      <c r="BV181" s="84"/>
      <c r="BW181" s="84"/>
      <c r="BX181" s="84"/>
    </row>
    <row r="182" spans="1:76" x14ac:dyDescent="0.2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90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90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3">
        <v>52439.588724740657</v>
      </c>
      <c r="AN182" s="52">
        <v>90278.850173593863</v>
      </c>
      <c r="AO182" s="52">
        <v>58629.891508481982</v>
      </c>
      <c r="AP182" s="52">
        <v>45165.805516987442</v>
      </c>
      <c r="AQ182" s="52">
        <v>13464.085991494532</v>
      </c>
      <c r="AR182" s="52">
        <v>30372.792948410421</v>
      </c>
      <c r="AS182" s="52">
        <v>1276.1657167015007</v>
      </c>
      <c r="AT182" s="52">
        <v>6083.943378815954</v>
      </c>
      <c r="AU182" s="52">
        <v>24846.033004418652</v>
      </c>
      <c r="AV182" s="52">
        <v>1126.002</v>
      </c>
      <c r="AW182" s="52">
        <v>20078.221834065502</v>
      </c>
      <c r="AX182" s="52">
        <v>69.275499999999994</v>
      </c>
      <c r="AY182" s="53">
        <v>154626.9199475036</v>
      </c>
      <c r="AZ182" s="52">
        <v>24881.474072411544</v>
      </c>
      <c r="BA182" s="52">
        <v>9525.0026409809143</v>
      </c>
      <c r="BB182" s="52">
        <v>34815.725508267773</v>
      </c>
      <c r="BC182" s="52">
        <v>266.90767113477273</v>
      </c>
      <c r="BD182" s="52">
        <v>138.69047850000001</v>
      </c>
      <c r="BE182" s="52">
        <v>29776.686060020998</v>
      </c>
      <c r="BF182" s="52">
        <v>19942.934546815079</v>
      </c>
      <c r="BG182" s="52">
        <v>1524.373124</v>
      </c>
      <c r="BH182" s="52">
        <v>10489.878541042977</v>
      </c>
      <c r="BI182" s="52">
        <v>577.90486500357281</v>
      </c>
      <c r="BJ182" s="53">
        <v>264430.93064358813</v>
      </c>
      <c r="BK182" s="58"/>
      <c r="BL182" s="15">
        <v>0.51</v>
      </c>
      <c r="BM182" s="12">
        <v>9621.81</v>
      </c>
      <c r="BN182" s="15">
        <v>0.42</v>
      </c>
      <c r="BO182" s="12">
        <v>2586.29</v>
      </c>
      <c r="BP182" s="15">
        <v>0.72</v>
      </c>
      <c r="BQ182" s="12">
        <v>529.62</v>
      </c>
      <c r="BR182" s="15"/>
      <c r="BS182" s="9"/>
      <c r="BU182" s="6"/>
      <c r="BV182" s="84"/>
      <c r="BW182" s="84"/>
      <c r="BX182" s="84"/>
    </row>
    <row r="183" spans="1:76" x14ac:dyDescent="0.2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3">
        <v>58360.596363084798</v>
      </c>
      <c r="AN183" s="52">
        <v>84245.643472262222</v>
      </c>
      <c r="AO183" s="52">
        <v>55501.777059501423</v>
      </c>
      <c r="AP183" s="52">
        <v>42874.633802673045</v>
      </c>
      <c r="AQ183" s="52">
        <v>12627.143256828384</v>
      </c>
      <c r="AR183" s="52">
        <v>27497.45032265726</v>
      </c>
      <c r="AS183" s="52">
        <v>1246.4160901035239</v>
      </c>
      <c r="AT183" s="52">
        <v>6646.322909568572</v>
      </c>
      <c r="AU183" s="52">
        <v>24533.989512989352</v>
      </c>
      <c r="AV183" s="52">
        <v>1138.5965000000001</v>
      </c>
      <c r="AW183" s="52">
        <v>18193.803756244408</v>
      </c>
      <c r="AX183" s="52">
        <v>68.534999999999997</v>
      </c>
      <c r="AY183" s="53">
        <v>156662.81000166055</v>
      </c>
      <c r="AZ183" s="52">
        <v>24316.098235665046</v>
      </c>
      <c r="BA183" s="52">
        <v>12335.16056271374</v>
      </c>
      <c r="BB183" s="52">
        <v>34601.769561835827</v>
      </c>
      <c r="BC183" s="52">
        <v>265.05749106223811</v>
      </c>
      <c r="BD183" s="52">
        <v>146.28721200000001</v>
      </c>
      <c r="BE183" s="52">
        <v>29979.907376319999</v>
      </c>
      <c r="BF183" s="52">
        <v>20956.649040035867</v>
      </c>
      <c r="BG183" s="52">
        <v>1811.6448185000002</v>
      </c>
      <c r="BH183" s="52">
        <v>12147.901471583602</v>
      </c>
      <c r="BI183" s="52">
        <v>668.45220902238157</v>
      </c>
      <c r="BJ183" s="53">
        <v>268259.03061918728</v>
      </c>
      <c r="BK183" s="58"/>
      <c r="BL183" s="90">
        <v>0.48</v>
      </c>
      <c r="BM183" s="12">
        <v>9471.39</v>
      </c>
      <c r="BN183" s="90">
        <v>0.41</v>
      </c>
      <c r="BO183" s="12">
        <v>3516.59</v>
      </c>
      <c r="BP183" s="90">
        <v>1.01</v>
      </c>
      <c r="BQ183" s="12">
        <v>142.55000000000001</v>
      </c>
      <c r="BR183" s="15"/>
      <c r="BS183" s="9"/>
      <c r="BU183" s="6"/>
      <c r="BV183" s="84"/>
      <c r="BW183" s="84"/>
      <c r="BX183" s="84"/>
    </row>
    <row r="184" spans="1:76" x14ac:dyDescent="0.2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3">
        <v>61955.309891928904</v>
      </c>
      <c r="AN184" s="52">
        <v>80697.056703292881</v>
      </c>
      <c r="AO184" s="52">
        <v>52687.302690017379</v>
      </c>
      <c r="AP184" s="52">
        <v>40765.146360858758</v>
      </c>
      <c r="AQ184" s="52">
        <v>11922.156329158619</v>
      </c>
      <c r="AR184" s="52">
        <v>26869.532684145212</v>
      </c>
      <c r="AS184" s="52">
        <v>1140.2213291302858</v>
      </c>
      <c r="AT184" s="52">
        <v>7343.3868752263324</v>
      </c>
      <c r="AU184" s="52">
        <v>21096.399948100796</v>
      </c>
      <c r="AV184" s="52">
        <v>1155.3330000000001</v>
      </c>
      <c r="AW184" s="52">
        <v>14806.232592141287</v>
      </c>
      <c r="AX184" s="52">
        <v>72.122500000000002</v>
      </c>
      <c r="AY184" s="53">
        <v>157369.13132640763</v>
      </c>
      <c r="AZ184" s="52">
        <v>25632.485629600527</v>
      </c>
      <c r="BA184" s="52">
        <v>13582.412149692218</v>
      </c>
      <c r="BB184" s="52">
        <v>34856.898665558751</v>
      </c>
      <c r="BC184" s="52">
        <v>265.32944679690473</v>
      </c>
      <c r="BD184" s="52">
        <v>217.5286815</v>
      </c>
      <c r="BE184" s="52">
        <v>29986.248990320004</v>
      </c>
      <c r="BF184" s="52">
        <v>21732.339882757416</v>
      </c>
      <c r="BG184" s="52">
        <v>2192.8604420000001</v>
      </c>
      <c r="BH184" s="52">
        <v>12496.389284009147</v>
      </c>
      <c r="BI184" s="52">
        <v>804.63994220715767</v>
      </c>
      <c r="BJ184" s="53">
        <v>272534.20598841715</v>
      </c>
      <c r="BK184" s="58"/>
      <c r="BL184" s="90">
        <v>0.47</v>
      </c>
      <c r="BM184" s="12">
        <v>9257.64</v>
      </c>
      <c r="BN184" s="90">
        <v>0.38</v>
      </c>
      <c r="BO184" s="12">
        <v>3580.48</v>
      </c>
      <c r="BP184" s="90">
        <v>0.6</v>
      </c>
      <c r="BQ184" s="12">
        <v>139.51</v>
      </c>
      <c r="BR184" s="15">
        <v>0.48</v>
      </c>
      <c r="BS184" s="65">
        <v>0.01</v>
      </c>
      <c r="BU184" s="6"/>
      <c r="BV184" s="84"/>
      <c r="BW184" s="84"/>
      <c r="BX184" s="84"/>
    </row>
    <row r="185" spans="1:76" x14ac:dyDescent="0.2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3">
        <v>62162.825329778745</v>
      </c>
      <c r="AN185" s="52">
        <v>79225.22655239173</v>
      </c>
      <c r="AO185" s="52">
        <v>51003.116896945226</v>
      </c>
      <c r="AP185" s="52">
        <v>39853.934916415972</v>
      </c>
      <c r="AQ185" s="52">
        <v>11149.18198052926</v>
      </c>
      <c r="AR185" s="52">
        <v>27181.223050494264</v>
      </c>
      <c r="AS185" s="52">
        <v>1040.886604952238</v>
      </c>
      <c r="AT185" s="52">
        <v>7608.9906376385716</v>
      </c>
      <c r="AU185" s="52">
        <v>24549.631670431001</v>
      </c>
      <c r="AV185" s="52">
        <v>1163.4279999999999</v>
      </c>
      <c r="AW185" s="52">
        <v>15690.796306724724</v>
      </c>
      <c r="AX185" s="52">
        <v>74.242000000000004</v>
      </c>
      <c r="AY185" s="53">
        <v>158945.06388351534</v>
      </c>
      <c r="AZ185" s="52">
        <v>25416.710083137667</v>
      </c>
      <c r="BA185" s="52">
        <v>13891.778821425227</v>
      </c>
      <c r="BB185" s="52">
        <v>34819.585272561133</v>
      </c>
      <c r="BC185" s="52">
        <v>254.24383618766666</v>
      </c>
      <c r="BD185" s="52">
        <v>289.06472099999996</v>
      </c>
      <c r="BE185" s="52">
        <v>29952.842522783503</v>
      </c>
      <c r="BF185" s="52">
        <v>21778.555401550249</v>
      </c>
      <c r="BG185" s="52">
        <v>2306.3670469999997</v>
      </c>
      <c r="BH185" s="52">
        <v>14696.314134970989</v>
      </c>
      <c r="BI185" s="52">
        <v>857.16989633071944</v>
      </c>
      <c r="BJ185" s="53">
        <v>272100.72755785909</v>
      </c>
      <c r="BK185" s="58"/>
      <c r="BL185" s="90">
        <v>0.46</v>
      </c>
      <c r="BM185" s="12">
        <v>8784.27</v>
      </c>
      <c r="BN185" s="90">
        <v>0.37</v>
      </c>
      <c r="BO185" s="12">
        <v>3680.77</v>
      </c>
      <c r="BP185" s="90">
        <v>0.61</v>
      </c>
      <c r="BQ185" s="12">
        <v>356.32</v>
      </c>
      <c r="BR185" s="15">
        <v>1.5</v>
      </c>
      <c r="BS185" s="9">
        <v>80</v>
      </c>
      <c r="BU185" s="6"/>
      <c r="BV185" s="84"/>
      <c r="BW185" s="84"/>
      <c r="BX185" s="84"/>
    </row>
    <row r="186" spans="1:76" x14ac:dyDescent="0.2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3">
        <v>61238.734035323032</v>
      </c>
      <c r="AN186" s="52">
        <v>78753.757589025263</v>
      </c>
      <c r="AO186" s="52">
        <v>50363.123519890607</v>
      </c>
      <c r="AP186" s="52">
        <v>40231.791239078339</v>
      </c>
      <c r="AQ186" s="52">
        <v>10131.332280812268</v>
      </c>
      <c r="AR186" s="52">
        <v>27378.046073029411</v>
      </c>
      <c r="AS186" s="52">
        <v>1012.5879961052379</v>
      </c>
      <c r="AT186" s="52">
        <v>7732.5543138103812</v>
      </c>
      <c r="AU186" s="52">
        <v>24705.944827778349</v>
      </c>
      <c r="AV186" s="52">
        <v>1157.2735</v>
      </c>
      <c r="AW186" s="52">
        <v>15646.982849670045</v>
      </c>
      <c r="AX186" s="52">
        <v>70.985500000000002</v>
      </c>
      <c r="AY186" s="53">
        <v>157870.29591626697</v>
      </c>
      <c r="AZ186" s="52">
        <v>25158.144183405191</v>
      </c>
      <c r="BA186" s="52">
        <v>15369.772368658063</v>
      </c>
      <c r="BB186" s="52">
        <v>34865.599443429935</v>
      </c>
      <c r="BC186" s="52">
        <v>254.19207144895239</v>
      </c>
      <c r="BD186" s="52">
        <v>342.17174349999999</v>
      </c>
      <c r="BE186" s="52">
        <v>30068.0054792835</v>
      </c>
      <c r="BF186" s="52">
        <v>22644.174892387509</v>
      </c>
      <c r="BG186" s="52">
        <v>2440.1016380000001</v>
      </c>
      <c r="BH186" s="52">
        <v>15129.66527115335</v>
      </c>
      <c r="BI186" s="52">
        <v>874.06337261358465</v>
      </c>
      <c r="BJ186" s="53">
        <v>273008.72909261315</v>
      </c>
      <c r="BK186" s="58"/>
      <c r="BL186" s="90">
        <v>0.45</v>
      </c>
      <c r="BM186" s="12">
        <v>9096.74</v>
      </c>
      <c r="BN186" s="90">
        <v>0.32</v>
      </c>
      <c r="BO186" s="12">
        <v>3262.9</v>
      </c>
      <c r="BP186" s="90">
        <v>0.63</v>
      </c>
      <c r="BQ186" s="12">
        <v>495.15</v>
      </c>
      <c r="BR186" s="15">
        <v>1.61</v>
      </c>
      <c r="BS186" s="9">
        <v>70</v>
      </c>
      <c r="BU186" s="6"/>
      <c r="BV186" s="84"/>
      <c r="BW186" s="84"/>
      <c r="BX186" s="84"/>
    </row>
    <row r="187" spans="1:76" x14ac:dyDescent="0.2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39090.739047381903</v>
      </c>
      <c r="AJ187" s="52">
        <v>24615.825709145171</v>
      </c>
      <c r="AK187" s="52">
        <v>14474.913338236731</v>
      </c>
      <c r="AL187" s="52">
        <v>14669.487104423995</v>
      </c>
      <c r="AM187" s="53">
        <v>65369.620330449492</v>
      </c>
      <c r="AN187" s="52">
        <v>77493.153024956933</v>
      </c>
      <c r="AO187" s="52">
        <v>50034.374346502154</v>
      </c>
      <c r="AP187" s="52">
        <v>40517.735901418448</v>
      </c>
      <c r="AQ187" s="52">
        <v>9516.6384450837068</v>
      </c>
      <c r="AR187" s="52">
        <v>26540.306826842971</v>
      </c>
      <c r="AS187" s="52">
        <v>918.47185161180005</v>
      </c>
      <c r="AT187" s="52">
        <v>7916.0375282031018</v>
      </c>
      <c r="AU187" s="52">
        <v>23582.848318425353</v>
      </c>
      <c r="AV187" s="52">
        <v>1162.3115</v>
      </c>
      <c r="AW187" s="52">
        <v>16167.385513545385</v>
      </c>
      <c r="AX187" s="52">
        <v>75.491</v>
      </c>
      <c r="AY187" s="53">
        <v>159281.09418848949</v>
      </c>
      <c r="AZ187" s="52">
        <v>24534.657634472398</v>
      </c>
      <c r="BA187" s="52">
        <v>11789.424440872497</v>
      </c>
      <c r="BB187" s="52">
        <v>35058.857420633343</v>
      </c>
      <c r="BC187" s="52">
        <v>255.65269377265</v>
      </c>
      <c r="BD187" s="52">
        <v>417.67749649999996</v>
      </c>
      <c r="BE187" s="52">
        <v>30208.691138258</v>
      </c>
      <c r="BF187" s="52">
        <v>23458.209654569109</v>
      </c>
      <c r="BG187" s="52">
        <v>2524.4110061831962</v>
      </c>
      <c r="BH187" s="52">
        <v>13691.266272674724</v>
      </c>
      <c r="BI187" s="52">
        <v>729.67420986213517</v>
      </c>
      <c r="BJ187" s="53">
        <v>273107.73519121384</v>
      </c>
      <c r="BK187" s="58"/>
      <c r="BL187" s="90">
        <v>0.43</v>
      </c>
      <c r="BM187" s="12">
        <v>9730.65</v>
      </c>
      <c r="BN187" s="90">
        <v>0.4</v>
      </c>
      <c r="BO187" s="12">
        <v>3234.47</v>
      </c>
      <c r="BP187" s="90">
        <v>0.63</v>
      </c>
      <c r="BQ187" s="12">
        <v>309.20999999999998</v>
      </c>
      <c r="BR187" s="15"/>
      <c r="BS187" s="9"/>
      <c r="BU187" s="6"/>
      <c r="BV187" s="84"/>
      <c r="BW187" s="84"/>
      <c r="BX187" s="84"/>
    </row>
    <row r="188" spans="1:76" x14ac:dyDescent="0.25">
      <c r="A188" s="20">
        <v>44197</v>
      </c>
      <c r="B188" s="52">
        <v>107012.418054384</v>
      </c>
      <c r="C188" s="52">
        <v>17377.015561307999</v>
      </c>
      <c r="D188" s="52">
        <v>58177.164866289997</v>
      </c>
      <c r="E188" s="53">
        <v>7707.8107981940002</v>
      </c>
      <c r="F188" s="52">
        <v>190274.40928017598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24060.781177067802</v>
      </c>
      <c r="AK188" s="52">
        <v>15304.7140722083</v>
      </c>
      <c r="AL188" s="52">
        <v>16923.562388721752</v>
      </c>
      <c r="AM188" s="53">
        <v>68759.521458552146</v>
      </c>
      <c r="AN188" s="52">
        <v>76363.337677005897</v>
      </c>
      <c r="AO188" s="52">
        <v>49226.003882854202</v>
      </c>
      <c r="AP188" s="52">
        <v>40659.704761877401</v>
      </c>
      <c r="AQ188" s="52">
        <v>8566.2991209767206</v>
      </c>
      <c r="AR188" s="52">
        <v>26208.34674569</v>
      </c>
      <c r="AS188" s="52">
        <v>928.98704846170006</v>
      </c>
      <c r="AT188" s="52">
        <v>8499.2923594539989</v>
      </c>
      <c r="AU188" s="52">
        <v>24279.474938878237</v>
      </c>
      <c r="AV188" s="52">
        <v>1169.6702837936718</v>
      </c>
      <c r="AW188" s="52">
        <v>15835.054889980051</v>
      </c>
      <c r="AX188" s="52">
        <v>80.418166666666664</v>
      </c>
      <c r="AY188" s="53">
        <v>163155.82366103723</v>
      </c>
      <c r="AZ188" s="52">
        <v>23564.545798724102</v>
      </c>
      <c r="BA188" s="52">
        <v>9503.710770913749</v>
      </c>
      <c r="BB188" s="52">
        <v>34371.363851480302</v>
      </c>
      <c r="BC188" s="52">
        <v>243.06337654805</v>
      </c>
      <c r="BD188" s="52">
        <v>462.55244632393919</v>
      </c>
      <c r="BE188" s="52">
        <v>30594.618468629858</v>
      </c>
      <c r="BF188" s="52">
        <v>24159.296050163655</v>
      </c>
      <c r="BG188" s="52">
        <v>2550.3040128873463</v>
      </c>
      <c r="BH188" s="52">
        <v>14291.358442250978</v>
      </c>
      <c r="BI188" s="52">
        <v>751.98408250659179</v>
      </c>
      <c r="BJ188" s="53">
        <v>273561.93591195066</v>
      </c>
      <c r="BK188" s="58"/>
      <c r="BL188" s="15">
        <v>0.45</v>
      </c>
      <c r="BM188" s="12">
        <v>8630.92</v>
      </c>
      <c r="BN188" s="15">
        <v>0.39</v>
      </c>
      <c r="BO188" s="12">
        <v>2931.93</v>
      </c>
      <c r="BP188" s="15">
        <v>0.64</v>
      </c>
      <c r="BQ188" s="12">
        <v>265.87</v>
      </c>
      <c r="BR188" s="15"/>
      <c r="BS188" s="9"/>
      <c r="BU188" s="6"/>
      <c r="BV188" s="84"/>
      <c r="BW188" s="84"/>
      <c r="BX188" s="84"/>
    </row>
    <row r="189" spans="1:76" x14ac:dyDescent="0.25">
      <c r="A189" s="19"/>
      <c r="B189" s="52"/>
      <c r="C189" s="52"/>
      <c r="D189" s="52"/>
      <c r="E189" s="53"/>
      <c r="F189" s="52"/>
      <c r="G189" s="15"/>
      <c r="H189" s="9"/>
      <c r="I189" s="55"/>
      <c r="J189" s="55"/>
      <c r="K189" s="55"/>
      <c r="L189" s="55"/>
      <c r="M189" s="55"/>
      <c r="N189" s="55"/>
      <c r="O189" s="55"/>
      <c r="P189" s="55"/>
      <c r="Q189" s="15"/>
      <c r="R189" s="9"/>
      <c r="S189" s="12"/>
      <c r="T189" s="12"/>
      <c r="U189" s="86"/>
      <c r="V189" s="86"/>
      <c r="W189" s="86"/>
      <c r="X189" s="55"/>
      <c r="Y189" s="66"/>
      <c r="Z189" s="9"/>
      <c r="AA189" s="85"/>
      <c r="AB189" s="55"/>
      <c r="AC189" s="55"/>
      <c r="AD189" s="55"/>
      <c r="AE189" s="66"/>
      <c r="AF189" s="65"/>
      <c r="AG189" s="52"/>
      <c r="AH189" s="52"/>
      <c r="AI189" s="52"/>
      <c r="AJ189" s="52"/>
      <c r="AK189" s="52"/>
      <c r="AL189" s="52"/>
      <c r="AM189" s="53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3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3"/>
      <c r="BK189" s="58"/>
      <c r="BL189" s="15"/>
      <c r="BM189" s="12"/>
      <c r="BN189" s="15"/>
      <c r="BO189" s="12"/>
      <c r="BP189" s="15"/>
      <c r="BQ189" s="12"/>
      <c r="BR189" s="15"/>
      <c r="BS189" s="9"/>
      <c r="BU189" s="6"/>
      <c r="BV189" s="84"/>
      <c r="BW189" s="84"/>
      <c r="BX189" s="84"/>
    </row>
    <row r="190" spans="1:76" x14ac:dyDescent="0.25">
      <c r="A190" s="19"/>
      <c r="B190" s="52"/>
      <c r="C190" s="52"/>
      <c r="D190" s="52"/>
      <c r="E190" s="53"/>
      <c r="F190" s="52"/>
      <c r="G190" s="15"/>
      <c r="H190" s="9"/>
      <c r="I190" s="55"/>
      <c r="J190" s="55"/>
      <c r="K190" s="55"/>
      <c r="L190" s="55"/>
      <c r="M190" s="55"/>
      <c r="N190" s="55"/>
      <c r="O190" s="55"/>
      <c r="P190" s="55"/>
      <c r="Q190" s="15"/>
      <c r="R190" s="9"/>
      <c r="S190" s="12"/>
      <c r="T190" s="12"/>
      <c r="U190" s="86"/>
      <c r="V190" s="86"/>
      <c r="W190" s="86"/>
      <c r="X190" s="55"/>
      <c r="Y190" s="66"/>
      <c r="Z190" s="9"/>
      <c r="AA190" s="85"/>
      <c r="AB190" s="55"/>
      <c r="AC190" s="55"/>
      <c r="AD190" s="55"/>
      <c r="AE190" s="66"/>
      <c r="AF190" s="65"/>
      <c r="AG190" s="52"/>
      <c r="AH190" s="52"/>
      <c r="AI190" s="52"/>
      <c r="AJ190" s="52"/>
      <c r="AK190" s="52"/>
      <c r="AL190" s="52"/>
      <c r="AM190" s="53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3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3"/>
      <c r="BK190" s="58"/>
      <c r="BL190" s="15"/>
      <c r="BM190" s="12"/>
      <c r="BN190" s="15"/>
      <c r="BO190" s="12"/>
      <c r="BP190" s="15"/>
      <c r="BQ190" s="12"/>
      <c r="BR190" s="15"/>
      <c r="BS190" s="9"/>
      <c r="BT190" s="6"/>
      <c r="BU190" s="6"/>
      <c r="BV190" s="84"/>
      <c r="BW190" s="84"/>
      <c r="BX190" s="84"/>
    </row>
    <row r="191" spans="1:76" x14ac:dyDescent="0.25">
      <c r="A191" s="19"/>
      <c r="B191" s="52"/>
      <c r="C191" s="52"/>
      <c r="D191" s="52"/>
      <c r="E191" s="53"/>
      <c r="F191" s="52"/>
      <c r="G191" s="15"/>
      <c r="H191" s="9"/>
      <c r="I191" s="55"/>
      <c r="J191" s="55"/>
      <c r="K191" s="55"/>
      <c r="L191" s="55"/>
      <c r="M191" s="55"/>
      <c r="N191" s="55"/>
      <c r="O191" s="55"/>
      <c r="P191" s="55"/>
      <c r="Q191" s="15"/>
      <c r="R191" s="9"/>
      <c r="S191" s="12"/>
      <c r="T191" s="12"/>
      <c r="U191" s="86"/>
      <c r="V191" s="86"/>
      <c r="W191" s="86"/>
      <c r="X191" s="55"/>
      <c r="Y191" s="66"/>
      <c r="Z191" s="9"/>
      <c r="AA191" s="85"/>
      <c r="AB191" s="55"/>
      <c r="AC191" s="55"/>
      <c r="AD191" s="55"/>
      <c r="AE191" s="66"/>
      <c r="AF191" s="65"/>
      <c r="AG191" s="52"/>
      <c r="AH191" s="52"/>
      <c r="AI191" s="52"/>
      <c r="AJ191" s="52"/>
      <c r="AK191" s="52"/>
      <c r="AL191" s="52"/>
      <c r="AM191" s="53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3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3"/>
      <c r="BK191" s="58"/>
      <c r="BL191" s="15"/>
      <c r="BM191" s="12"/>
      <c r="BN191" s="15"/>
      <c r="BO191" s="12"/>
      <c r="BP191" s="15"/>
      <c r="BQ191" s="12"/>
      <c r="BR191" s="15"/>
      <c r="BS191" s="9"/>
      <c r="BT191" s="6"/>
      <c r="BU191" s="6"/>
      <c r="BV191" s="84"/>
      <c r="BW191" s="84"/>
      <c r="BX191" s="84"/>
    </row>
    <row r="192" spans="1:76" x14ac:dyDescent="0.25">
      <c r="A192" s="19"/>
      <c r="B192" s="52"/>
      <c r="C192" s="52"/>
      <c r="D192" s="52"/>
      <c r="E192" s="53"/>
      <c r="F192" s="52"/>
      <c r="G192" s="15"/>
      <c r="H192" s="9"/>
      <c r="I192" s="55"/>
      <c r="J192" s="55"/>
      <c r="K192" s="55"/>
      <c r="L192" s="55"/>
      <c r="M192" s="55"/>
      <c r="N192" s="55"/>
      <c r="O192" s="55"/>
      <c r="P192" s="55"/>
      <c r="Q192" s="15"/>
      <c r="R192" s="9"/>
      <c r="S192" s="12"/>
      <c r="T192" s="12"/>
      <c r="U192" s="86"/>
      <c r="V192" s="86"/>
      <c r="W192" s="86"/>
      <c r="X192" s="55"/>
      <c r="Y192" s="66"/>
      <c r="Z192" s="9"/>
      <c r="AA192" s="85"/>
      <c r="AB192" s="55"/>
      <c r="AC192" s="55"/>
      <c r="AD192" s="55"/>
      <c r="AE192" s="66"/>
      <c r="AF192" s="65"/>
      <c r="AG192" s="52"/>
      <c r="AH192" s="52"/>
      <c r="AI192" s="52"/>
      <c r="AJ192" s="52"/>
      <c r="AK192" s="52"/>
      <c r="AL192" s="52"/>
      <c r="AM192" s="53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3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3"/>
      <c r="BK192" s="58"/>
      <c r="BL192" s="15"/>
      <c r="BM192" s="12"/>
      <c r="BN192" s="15"/>
      <c r="BO192" s="12"/>
      <c r="BP192" s="15"/>
      <c r="BQ192" s="12"/>
      <c r="BR192" s="15"/>
      <c r="BS192" s="9"/>
      <c r="BU192" s="6"/>
      <c r="BV192" s="84"/>
      <c r="BW192" s="84"/>
      <c r="BX192" s="84"/>
    </row>
    <row r="193" spans="1:76" x14ac:dyDescent="0.25">
      <c r="A193" s="19"/>
      <c r="B193" s="52"/>
      <c r="C193" s="52"/>
      <c r="D193" s="52"/>
      <c r="E193" s="53"/>
      <c r="F193" s="52"/>
      <c r="G193" s="15"/>
      <c r="H193" s="9"/>
      <c r="I193" s="55"/>
      <c r="J193" s="55"/>
      <c r="K193" s="55"/>
      <c r="L193" s="55"/>
      <c r="M193" s="55"/>
      <c r="N193" s="55"/>
      <c r="O193" s="55"/>
      <c r="P193" s="55"/>
      <c r="Q193" s="15"/>
      <c r="R193" s="9"/>
      <c r="S193" s="12"/>
      <c r="T193" s="12"/>
      <c r="U193" s="86"/>
      <c r="V193" s="86"/>
      <c r="W193" s="86"/>
      <c r="X193" s="55"/>
      <c r="Y193" s="66"/>
      <c r="Z193" s="9"/>
      <c r="AA193" s="85"/>
      <c r="AB193" s="55"/>
      <c r="AC193" s="55"/>
      <c r="AD193" s="55"/>
      <c r="AE193" s="66"/>
      <c r="AF193" s="65"/>
      <c r="AG193" s="52"/>
      <c r="AH193" s="52"/>
      <c r="AI193" s="52"/>
      <c r="AJ193" s="52"/>
      <c r="AK193" s="52"/>
      <c r="AL193" s="52"/>
      <c r="AM193" s="53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3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3"/>
      <c r="BK193" s="58"/>
      <c r="BL193" s="15"/>
      <c r="BM193" s="12"/>
      <c r="BN193" s="15"/>
      <c r="BO193" s="12"/>
      <c r="BP193" s="15"/>
      <c r="BQ193" s="12"/>
      <c r="BR193" s="15"/>
      <c r="BS193" s="9"/>
      <c r="BU193" s="6"/>
      <c r="BV193" s="84"/>
      <c r="BW193" s="84"/>
      <c r="BX193" s="84"/>
    </row>
    <row r="194" spans="1:76" x14ac:dyDescent="0.25">
      <c r="A194" s="19"/>
      <c r="B194" s="52"/>
      <c r="C194" s="52"/>
      <c r="D194" s="52"/>
      <c r="E194" s="53"/>
      <c r="F194" s="52"/>
      <c r="G194" s="15"/>
      <c r="H194" s="9"/>
      <c r="I194" s="55"/>
      <c r="J194" s="55"/>
      <c r="K194" s="55"/>
      <c r="L194" s="55"/>
      <c r="M194" s="55"/>
      <c r="N194" s="55"/>
      <c r="O194" s="55"/>
      <c r="P194" s="55"/>
      <c r="Q194" s="15"/>
      <c r="R194" s="9"/>
      <c r="S194" s="12"/>
      <c r="T194" s="12"/>
      <c r="U194" s="86"/>
      <c r="V194" s="86"/>
      <c r="W194" s="86"/>
      <c r="X194" s="55"/>
      <c r="Y194" s="66"/>
      <c r="Z194" s="9"/>
      <c r="AA194" s="85"/>
      <c r="AB194" s="55"/>
      <c r="AC194" s="55"/>
      <c r="AD194" s="55"/>
      <c r="AE194" s="66"/>
      <c r="AF194" s="65"/>
      <c r="AG194" s="52"/>
      <c r="AH194" s="52"/>
      <c r="AI194" s="52"/>
      <c r="AJ194" s="52"/>
      <c r="AK194" s="52"/>
      <c r="AL194" s="52"/>
      <c r="AM194" s="53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3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3"/>
      <c r="BK194" s="58"/>
      <c r="BL194" s="15"/>
      <c r="BM194" s="12"/>
      <c r="BN194" s="15"/>
      <c r="BO194" s="12"/>
      <c r="BP194" s="15"/>
      <c r="BQ194" s="12"/>
      <c r="BR194" s="15"/>
      <c r="BS194" s="9"/>
      <c r="BU194" s="6"/>
      <c r="BV194" s="84"/>
      <c r="BW194" s="84"/>
      <c r="BX194" s="84"/>
    </row>
    <row r="195" spans="1:76" x14ac:dyDescent="0.25">
      <c r="A195" s="19"/>
      <c r="B195" s="52"/>
      <c r="C195" s="52"/>
      <c r="D195" s="52"/>
      <c r="E195" s="53"/>
      <c r="F195" s="52"/>
      <c r="G195" s="15"/>
      <c r="H195" s="9"/>
      <c r="I195" s="55"/>
      <c r="J195" s="55"/>
      <c r="K195" s="55"/>
      <c r="L195" s="55"/>
      <c r="M195" s="55"/>
      <c r="N195" s="55"/>
      <c r="O195" s="55"/>
      <c r="P195" s="55"/>
      <c r="Q195" s="15"/>
      <c r="R195" s="9"/>
      <c r="S195" s="12"/>
      <c r="T195" s="12"/>
      <c r="U195" s="86"/>
      <c r="V195" s="86"/>
      <c r="W195" s="86"/>
      <c r="X195" s="55"/>
      <c r="Y195" s="66"/>
      <c r="Z195" s="9"/>
      <c r="AA195" s="85"/>
      <c r="AB195" s="55"/>
      <c r="AC195" s="55"/>
      <c r="AD195" s="55"/>
      <c r="AE195" s="66"/>
      <c r="AF195" s="65"/>
      <c r="AG195" s="52"/>
      <c r="AH195" s="52"/>
      <c r="AI195" s="52"/>
      <c r="AJ195" s="52"/>
      <c r="AK195" s="52"/>
      <c r="AL195" s="52"/>
      <c r="AM195" s="53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3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3"/>
      <c r="BK195" s="58"/>
      <c r="BL195" s="90"/>
      <c r="BM195" s="12"/>
      <c r="BN195" s="90"/>
      <c r="BO195" s="12"/>
      <c r="BP195" s="90"/>
      <c r="BQ195" s="12"/>
      <c r="BR195" s="15"/>
      <c r="BS195" s="9"/>
      <c r="BU195" s="6"/>
      <c r="BV195" s="84"/>
      <c r="BW195" s="84"/>
      <c r="BX195" s="84"/>
    </row>
    <row r="196" spans="1:76" x14ac:dyDescent="0.25">
      <c r="A196" s="19"/>
      <c r="B196" s="52"/>
      <c r="C196" s="52"/>
      <c r="D196" s="52"/>
      <c r="E196" s="53"/>
      <c r="F196" s="52"/>
      <c r="G196" s="15"/>
      <c r="H196" s="9"/>
      <c r="I196" s="55"/>
      <c r="J196" s="55"/>
      <c r="K196" s="55"/>
      <c r="L196" s="55"/>
      <c r="M196" s="55"/>
      <c r="N196" s="55"/>
      <c r="O196" s="55"/>
      <c r="P196" s="55"/>
      <c r="Q196" s="15"/>
      <c r="R196" s="9"/>
      <c r="S196" s="12"/>
      <c r="T196" s="12"/>
      <c r="U196" s="86"/>
      <c r="V196" s="86"/>
      <c r="W196" s="86"/>
      <c r="X196" s="55"/>
      <c r="Y196" s="66"/>
      <c r="Z196" s="9"/>
      <c r="AA196" s="85"/>
      <c r="AB196" s="55"/>
      <c r="AC196" s="55"/>
      <c r="AD196" s="55"/>
      <c r="AE196" s="66"/>
      <c r="AF196" s="65"/>
      <c r="AG196" s="52"/>
      <c r="AH196" s="52"/>
      <c r="AI196" s="52"/>
      <c r="AJ196" s="52"/>
      <c r="AK196" s="52"/>
      <c r="AL196" s="52"/>
      <c r="AM196" s="53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3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3"/>
      <c r="BK196" s="58"/>
      <c r="BL196" s="90"/>
      <c r="BM196" s="12"/>
      <c r="BN196" s="90"/>
      <c r="BO196" s="12"/>
      <c r="BP196" s="90"/>
      <c r="BQ196" s="12"/>
      <c r="BR196" s="15"/>
      <c r="BS196" s="9"/>
      <c r="BU196" s="6"/>
      <c r="BV196" s="84"/>
      <c r="BW196" s="84"/>
      <c r="BX196" s="84"/>
    </row>
    <row r="197" spans="1:76" x14ac:dyDescent="0.25">
      <c r="A197" s="19"/>
      <c r="B197" s="52"/>
      <c r="C197" s="52"/>
      <c r="D197" s="52"/>
      <c r="E197" s="53"/>
      <c r="F197" s="52"/>
      <c r="G197" s="15"/>
      <c r="H197" s="9"/>
      <c r="I197" s="55"/>
      <c r="J197" s="55"/>
      <c r="K197" s="55"/>
      <c r="L197" s="55"/>
      <c r="M197" s="55"/>
      <c r="N197" s="55"/>
      <c r="O197" s="55"/>
      <c r="P197" s="55"/>
      <c r="Q197" s="15"/>
      <c r="R197" s="9"/>
      <c r="S197" s="12"/>
      <c r="T197" s="12"/>
      <c r="U197" s="86"/>
      <c r="V197" s="86"/>
      <c r="W197" s="86"/>
      <c r="X197" s="55"/>
      <c r="Y197" s="66"/>
      <c r="Z197" s="9"/>
      <c r="AA197" s="85"/>
      <c r="AB197" s="55"/>
      <c r="AC197" s="55"/>
      <c r="AD197" s="55"/>
      <c r="AE197" s="66"/>
      <c r="AF197" s="65"/>
      <c r="AG197" s="52"/>
      <c r="AH197" s="52"/>
      <c r="AI197" s="52"/>
      <c r="AJ197" s="52"/>
      <c r="AK197" s="52"/>
      <c r="AL197" s="52"/>
      <c r="AM197" s="53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3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3"/>
      <c r="BK197" s="58"/>
      <c r="BL197" s="90"/>
      <c r="BM197" s="12"/>
      <c r="BN197" s="90"/>
      <c r="BO197" s="12"/>
      <c r="BP197" s="90"/>
      <c r="BQ197" s="12"/>
      <c r="BR197" s="15"/>
      <c r="BS197" s="9"/>
      <c r="BU197" s="6"/>
      <c r="BV197" s="84"/>
      <c r="BW197" s="84"/>
      <c r="BX197" s="84"/>
    </row>
    <row r="198" spans="1:76" x14ac:dyDescent="0.25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2"/>
      <c r="AL198" s="52"/>
      <c r="AM198" s="53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3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3"/>
      <c r="BK198" s="58"/>
      <c r="BL198" s="90"/>
      <c r="BM198" s="12"/>
      <c r="BN198" s="90"/>
      <c r="BO198" s="12"/>
      <c r="BP198" s="90"/>
      <c r="BQ198" s="12"/>
      <c r="BR198" s="15"/>
      <c r="BS198" s="9"/>
      <c r="BU198" s="6"/>
      <c r="BV198" s="84"/>
      <c r="BW198" s="84"/>
      <c r="BX198" s="84"/>
    </row>
    <row r="199" spans="1:76" x14ac:dyDescent="0.25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2"/>
      <c r="AL199" s="52"/>
      <c r="AM199" s="53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3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3"/>
      <c r="BK199" s="58"/>
      <c r="BL199" s="90"/>
      <c r="BM199" s="12"/>
      <c r="BN199" s="90"/>
      <c r="BO199" s="12"/>
      <c r="BP199" s="90"/>
      <c r="BQ199" s="12"/>
      <c r="BR199" s="15"/>
      <c r="BS199" s="9"/>
      <c r="BU199" s="6"/>
      <c r="BV199" s="84"/>
      <c r="BW199" s="84"/>
      <c r="BX199" s="84"/>
    </row>
    <row r="200" spans="1:76" x14ac:dyDescent="0.25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2"/>
      <c r="AL200" s="52"/>
      <c r="AM200" s="53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3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3"/>
      <c r="BK200" s="58"/>
      <c r="BL200" s="15"/>
      <c r="BM200" s="12"/>
      <c r="BN200" s="15"/>
      <c r="BO200" s="12"/>
      <c r="BP200" s="15"/>
      <c r="BQ200" s="12"/>
      <c r="BR200" s="15"/>
      <c r="BS200" s="9"/>
      <c r="BU200" s="6"/>
      <c r="BV200" s="84"/>
      <c r="BW200" s="84"/>
      <c r="BX200" s="84"/>
    </row>
    <row r="201" spans="1:76" x14ac:dyDescent="0.25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2"/>
      <c r="AL201" s="52"/>
      <c r="AM201" s="53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3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3"/>
      <c r="BK201" s="58"/>
      <c r="BL201" s="15"/>
      <c r="BM201" s="12"/>
      <c r="BN201" s="15"/>
      <c r="BO201" s="12"/>
      <c r="BP201" s="15"/>
      <c r="BQ201" s="12"/>
      <c r="BR201" s="15"/>
      <c r="BS201" s="9"/>
      <c r="BU201" s="6"/>
      <c r="BV201" s="84"/>
      <c r="BW201" s="84"/>
      <c r="BX201" s="84"/>
    </row>
    <row r="202" spans="1:76" x14ac:dyDescent="0.25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3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3"/>
      <c r="BK202" s="58"/>
      <c r="BL202" s="15"/>
      <c r="BM202" s="12"/>
      <c r="BN202" s="15"/>
      <c r="BO202" s="12"/>
      <c r="BP202" s="15"/>
      <c r="BQ202" s="12"/>
      <c r="BR202" s="15"/>
      <c r="BS202" s="9"/>
      <c r="BT202" s="6"/>
      <c r="BU202" s="6"/>
      <c r="BV202" s="84"/>
      <c r="BW202" s="84"/>
      <c r="BX202" s="84"/>
    </row>
    <row r="203" spans="1:76" x14ac:dyDescent="0.2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3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3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3"/>
      <c r="BK203" s="58"/>
      <c r="BL203" s="15"/>
      <c r="BM203" s="12"/>
      <c r="BN203" s="15"/>
      <c r="BO203" s="12"/>
      <c r="BP203" s="15"/>
      <c r="BQ203" s="12"/>
      <c r="BR203" s="15"/>
      <c r="BS203" s="9"/>
      <c r="BT203" s="6"/>
      <c r="BU203" s="6"/>
      <c r="BV203" s="84"/>
      <c r="BW203" s="84"/>
      <c r="BX203" s="84"/>
    </row>
    <row r="204" spans="1:76" x14ac:dyDescent="0.2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3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3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3"/>
      <c r="BK204" s="58"/>
      <c r="BL204" s="15"/>
      <c r="BM204" s="12"/>
      <c r="BN204" s="15"/>
      <c r="BO204" s="12"/>
      <c r="BP204" s="15"/>
      <c r="BQ204" s="12"/>
      <c r="BR204" s="15"/>
      <c r="BS204" s="9"/>
      <c r="BU204" s="6"/>
      <c r="BV204" s="84"/>
      <c r="BW204" s="84"/>
      <c r="BX204" s="84"/>
    </row>
    <row r="205" spans="1:76" x14ac:dyDescent="0.2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3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3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3"/>
      <c r="BK205" s="58"/>
      <c r="BL205" s="15"/>
      <c r="BM205" s="12"/>
      <c r="BN205" s="15"/>
      <c r="BO205" s="12"/>
      <c r="BP205" s="15"/>
      <c r="BQ205" s="12"/>
      <c r="BR205" s="15"/>
      <c r="BS205" s="9"/>
      <c r="BU205" s="6"/>
      <c r="BV205" s="84"/>
      <c r="BW205" s="84"/>
      <c r="BX205" s="84"/>
    </row>
    <row r="206" spans="1:76" x14ac:dyDescent="0.2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3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3"/>
      <c r="BK206" s="58"/>
      <c r="BL206" s="15"/>
      <c r="BM206" s="12"/>
      <c r="BN206" s="15"/>
      <c r="BO206" s="12"/>
      <c r="BP206" s="15"/>
      <c r="BQ206" s="12"/>
      <c r="BR206" s="15"/>
      <c r="BS206" s="9"/>
      <c r="BU206" s="6"/>
      <c r="BV206" s="84"/>
      <c r="BW206" s="84"/>
      <c r="BX206" s="84"/>
    </row>
    <row r="207" spans="1:76" x14ac:dyDescent="0.2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3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3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3"/>
      <c r="BK207" s="58"/>
      <c r="BL207" s="90"/>
      <c r="BM207" s="12"/>
      <c r="BN207" s="90"/>
      <c r="BO207" s="12"/>
      <c r="BP207" s="90"/>
      <c r="BQ207" s="12"/>
      <c r="BR207" s="15"/>
      <c r="BS207" s="9"/>
      <c r="BU207" s="6"/>
      <c r="BV207" s="84"/>
      <c r="BW207" s="84"/>
      <c r="BX207" s="84"/>
    </row>
    <row r="208" spans="1:76" x14ac:dyDescent="0.2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3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3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3"/>
      <c r="BK208" s="58"/>
      <c r="BL208" s="90"/>
      <c r="BM208" s="12"/>
      <c r="BN208" s="90"/>
      <c r="BO208" s="12"/>
      <c r="BP208" s="90"/>
      <c r="BQ208" s="12"/>
      <c r="BR208" s="15"/>
      <c r="BS208" s="9"/>
      <c r="BU208" s="6"/>
      <c r="BV208" s="84"/>
      <c r="BW208" s="84"/>
      <c r="BX208" s="84"/>
    </row>
    <row r="209" spans="1:76" x14ac:dyDescent="0.2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3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3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3"/>
      <c r="BK209" s="58"/>
      <c r="BL209" s="90"/>
      <c r="BM209" s="12"/>
      <c r="BN209" s="90"/>
      <c r="BO209" s="12"/>
      <c r="BP209" s="90"/>
      <c r="BQ209" s="12"/>
      <c r="BR209" s="15"/>
      <c r="BS209" s="9"/>
      <c r="BU209" s="6"/>
      <c r="BV209" s="84"/>
      <c r="BW209" s="84"/>
      <c r="BX209" s="84"/>
    </row>
    <row r="210" spans="1:76" x14ac:dyDescent="0.2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3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3"/>
      <c r="BK210" s="58"/>
      <c r="BL210" s="90"/>
      <c r="BM210" s="12"/>
      <c r="BN210" s="90"/>
      <c r="BO210" s="12"/>
      <c r="BP210" s="90"/>
      <c r="BQ210" s="12"/>
      <c r="BR210" s="15"/>
      <c r="BS210" s="9"/>
      <c r="BU210" s="6"/>
      <c r="BV210" s="84"/>
      <c r="BW210" s="84"/>
      <c r="BX210" s="84"/>
    </row>
    <row r="211" spans="1:76" x14ac:dyDescent="0.2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3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3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3"/>
      <c r="BK211" s="58"/>
      <c r="BL211" s="90"/>
      <c r="BM211" s="12"/>
      <c r="BN211" s="90"/>
      <c r="BO211" s="12"/>
      <c r="BP211" s="90"/>
      <c r="BQ211" s="12"/>
      <c r="BR211" s="15"/>
      <c r="BS211" s="9"/>
      <c r="BU211" s="6"/>
      <c r="BV211" s="84"/>
      <c r="BW211" s="84"/>
      <c r="BX211" s="84"/>
    </row>
    <row r="212" spans="1:76" x14ac:dyDescent="0.25">
      <c r="AU212" s="54"/>
      <c r="AV212" s="79"/>
      <c r="AW212" s="79"/>
    </row>
    <row r="213" spans="1:76" x14ac:dyDescent="0.25">
      <c r="AU213" s="54"/>
      <c r="AV213" s="79"/>
      <c r="AW213" s="79"/>
    </row>
    <row r="214" spans="1:76" x14ac:dyDescent="0.25">
      <c r="AU214" s="54"/>
      <c r="AV214" s="79"/>
      <c r="AW214" s="79"/>
    </row>
    <row r="215" spans="1:76" x14ac:dyDescent="0.25">
      <c r="AU215" s="54"/>
      <c r="AV215" s="79"/>
      <c r="AW215" s="79"/>
    </row>
    <row r="216" spans="1:76" x14ac:dyDescent="0.25">
      <c r="AU216" s="54"/>
      <c r="AV216" s="79"/>
      <c r="AW216" s="79"/>
    </row>
  </sheetData>
  <mergeCells count="36"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  <mergeCell ref="BL1:BS1"/>
    <mergeCell ref="BL2:BM2"/>
    <mergeCell ref="BN2:BO2"/>
    <mergeCell ref="BP2:BQ2"/>
    <mergeCell ref="BR2:BS2"/>
    <mergeCell ref="BL5:BS5"/>
    <mergeCell ref="BL6:BS6"/>
    <mergeCell ref="B5:F5"/>
    <mergeCell ref="G5:AF5"/>
    <mergeCell ref="AG5:BJ5"/>
    <mergeCell ref="B6:F6"/>
    <mergeCell ref="G6:AF6"/>
    <mergeCell ref="AG6:BJ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E192"/>
  <sheetViews>
    <sheetView showGridLines="0" topLeftCell="AO1" zoomScale="80" zoomScaleNormal="80" workbookViewId="0">
      <pane ySplit="5" topLeftCell="A179" activePane="bottomLeft" state="frozen"/>
      <selection pane="bottomLeft" activeCell="AP186" sqref="AP186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4" width="20.7109375" style="36" customWidth="1"/>
    <col min="25" max="25" width="28.28515625" style="36" customWidth="1"/>
    <col min="26" max="39" width="20.7109375" style="22" customWidth="1"/>
    <col min="40" max="40" width="28.28515625" style="36" customWidth="1"/>
    <col min="41" max="41" width="11.5703125" style="22" customWidth="1"/>
    <col min="42" max="53" width="15.7109375" style="22" customWidth="1"/>
    <col min="54" max="54" width="28.28515625" style="36" customWidth="1"/>
    <col min="55" max="55" width="11.5703125" style="2" customWidth="1"/>
    <col min="56" max="16384" width="11.42578125" style="2"/>
  </cols>
  <sheetData>
    <row r="1" spans="1:57" ht="31.5" customHeight="1" x14ac:dyDescent="0.35">
      <c r="B1" s="162" t="s">
        <v>63</v>
      </c>
      <c r="C1" s="162"/>
      <c r="D1" s="162"/>
      <c r="E1" s="162"/>
      <c r="F1" s="174"/>
      <c r="G1" s="59"/>
      <c r="H1" s="162" t="s">
        <v>64</v>
      </c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74"/>
      <c r="T1" s="175" t="s">
        <v>110</v>
      </c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7"/>
    </row>
    <row r="2" spans="1:57" s="4" customFormat="1" ht="15.75" customHeight="1" x14ac:dyDescent="0.25">
      <c r="A2" s="3"/>
      <c r="B2" s="166" t="s">
        <v>44</v>
      </c>
      <c r="C2" s="166"/>
      <c r="D2" s="166"/>
      <c r="E2" s="166"/>
      <c r="F2" s="166"/>
      <c r="G2" s="151" t="s">
        <v>146</v>
      </c>
      <c r="H2" s="171"/>
      <c r="I2" s="171"/>
      <c r="J2" s="171"/>
      <c r="K2" s="178"/>
      <c r="L2" s="151" t="s">
        <v>147</v>
      </c>
      <c r="M2" s="166"/>
      <c r="N2" s="166"/>
      <c r="O2" s="152"/>
      <c r="P2" s="151" t="s">
        <v>148</v>
      </c>
      <c r="Q2" s="166"/>
      <c r="R2" s="152"/>
      <c r="S2" s="69" t="s">
        <v>149</v>
      </c>
      <c r="T2" s="170" t="s">
        <v>37</v>
      </c>
      <c r="U2" s="171"/>
      <c r="V2" s="171"/>
      <c r="W2" s="171"/>
      <c r="X2" s="171"/>
      <c r="Y2" s="178"/>
      <c r="Z2" s="170" t="s">
        <v>38</v>
      </c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8"/>
      <c r="AO2" s="170" t="s">
        <v>41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8"/>
    </row>
    <row r="3" spans="1:57" s="4" customFormat="1" ht="38.25" x14ac:dyDescent="0.25">
      <c r="A3" s="3"/>
      <c r="B3" s="61" t="s">
        <v>78</v>
      </c>
      <c r="C3" s="63" t="s">
        <v>74</v>
      </c>
      <c r="D3" s="63" t="s">
        <v>75</v>
      </c>
      <c r="E3" s="63" t="s">
        <v>115</v>
      </c>
      <c r="F3" s="62" t="s">
        <v>43</v>
      </c>
      <c r="G3" s="68" t="s">
        <v>131</v>
      </c>
      <c r="H3" s="75" t="s">
        <v>181</v>
      </c>
      <c r="I3" s="76" t="s">
        <v>182</v>
      </c>
      <c r="J3" s="76" t="s">
        <v>139</v>
      </c>
      <c r="K3" s="74" t="s">
        <v>140</v>
      </c>
      <c r="L3" s="74" t="s">
        <v>97</v>
      </c>
      <c r="M3" s="40" t="s">
        <v>141</v>
      </c>
      <c r="N3" s="40" t="s">
        <v>139</v>
      </c>
      <c r="O3" s="64" t="s">
        <v>140</v>
      </c>
      <c r="P3" s="71" t="s">
        <v>180</v>
      </c>
      <c r="Q3" s="46" t="s">
        <v>142</v>
      </c>
      <c r="R3" s="47" t="s">
        <v>143</v>
      </c>
      <c r="S3" s="70"/>
      <c r="T3" s="45" t="s">
        <v>79</v>
      </c>
      <c r="U3" s="46" t="s">
        <v>85</v>
      </c>
      <c r="V3" s="46" t="s">
        <v>333</v>
      </c>
      <c r="W3" s="46" t="s">
        <v>334</v>
      </c>
      <c r="X3" s="46" t="s">
        <v>102</v>
      </c>
      <c r="Y3" s="47" t="s">
        <v>37</v>
      </c>
      <c r="Z3" s="145" t="s">
        <v>37</v>
      </c>
      <c r="AA3" s="40" t="s">
        <v>306</v>
      </c>
      <c r="AB3" s="40" t="s">
        <v>305</v>
      </c>
      <c r="AC3" s="40" t="s">
        <v>307</v>
      </c>
      <c r="AD3" s="40" t="s">
        <v>308</v>
      </c>
      <c r="AE3" s="40" t="s">
        <v>335</v>
      </c>
      <c r="AF3" s="40" t="s">
        <v>315</v>
      </c>
      <c r="AG3" s="40" t="s">
        <v>80</v>
      </c>
      <c r="AH3" s="40" t="s">
        <v>104</v>
      </c>
      <c r="AI3" s="40" t="s">
        <v>81</v>
      </c>
      <c r="AJ3" s="40" t="s">
        <v>103</v>
      </c>
      <c r="AK3" s="40" t="s">
        <v>105</v>
      </c>
      <c r="AL3" s="40" t="s">
        <v>83</v>
      </c>
      <c r="AM3" s="40" t="s">
        <v>82</v>
      </c>
      <c r="AN3" s="47" t="s">
        <v>38</v>
      </c>
      <c r="AO3" s="45" t="s">
        <v>38</v>
      </c>
      <c r="AP3" s="46" t="s">
        <v>106</v>
      </c>
      <c r="AQ3" s="46" t="s">
        <v>65</v>
      </c>
      <c r="AR3" s="46" t="s">
        <v>107</v>
      </c>
      <c r="AS3" s="46" t="s">
        <v>39</v>
      </c>
      <c r="AT3" s="46" t="s">
        <v>40</v>
      </c>
      <c r="AU3" s="46" t="s">
        <v>58</v>
      </c>
      <c r="AV3" s="46" t="s">
        <v>59</v>
      </c>
      <c r="AW3" s="46" t="s">
        <v>67</v>
      </c>
      <c r="AX3" s="46" t="s">
        <v>66</v>
      </c>
      <c r="AY3" s="46" t="s">
        <v>150</v>
      </c>
      <c r="AZ3" s="46" t="s">
        <v>151</v>
      </c>
      <c r="BA3" s="46" t="s">
        <v>152</v>
      </c>
      <c r="BB3" s="47" t="s">
        <v>41</v>
      </c>
    </row>
    <row r="4" spans="1:57" s="34" customFormat="1" ht="15.75" customHeight="1" x14ac:dyDescent="0.25">
      <c r="A4" s="33"/>
      <c r="B4" s="172" t="s">
        <v>109</v>
      </c>
      <c r="C4" s="173"/>
      <c r="D4" s="173"/>
      <c r="E4" s="173"/>
      <c r="F4" s="173"/>
      <c r="G4" s="172" t="s">
        <v>153</v>
      </c>
      <c r="H4" s="155"/>
      <c r="I4" s="155"/>
      <c r="J4" s="155"/>
      <c r="K4" s="155"/>
      <c r="L4" s="173"/>
      <c r="M4" s="173"/>
      <c r="N4" s="173"/>
      <c r="O4" s="173"/>
      <c r="P4" s="173"/>
      <c r="Q4" s="173"/>
      <c r="R4" s="173"/>
      <c r="S4" s="183"/>
      <c r="T4" s="172" t="s">
        <v>116</v>
      </c>
      <c r="U4" s="173"/>
      <c r="V4" s="173"/>
      <c r="W4" s="173"/>
      <c r="X4" s="173"/>
      <c r="Y4" s="60" t="s">
        <v>109</v>
      </c>
      <c r="Z4" s="154" t="s">
        <v>116</v>
      </c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60" t="s">
        <v>109</v>
      </c>
      <c r="AO4" s="155" t="s">
        <v>117</v>
      </c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60" t="s">
        <v>109</v>
      </c>
    </row>
    <row r="5" spans="1:57" ht="15" customHeight="1" x14ac:dyDescent="0.25">
      <c r="A5" s="3"/>
      <c r="B5" s="157" t="s">
        <v>101</v>
      </c>
      <c r="C5" s="158"/>
      <c r="D5" s="158"/>
      <c r="E5" s="158"/>
      <c r="F5" s="158"/>
      <c r="G5" s="179" t="s">
        <v>99</v>
      </c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1"/>
      <c r="T5" s="180" t="s">
        <v>99</v>
      </c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2"/>
    </row>
    <row r="6" spans="1:57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25">
      <c r="A7" s="20">
        <v>38718</v>
      </c>
      <c r="B7" s="12"/>
      <c r="C7" s="12"/>
      <c r="D7" s="12"/>
      <c r="E7" s="12"/>
      <c r="F7" s="9"/>
      <c r="G7" s="9" t="e">
        <f>+'Base original'!G8</f>
        <v>#NAME?</v>
      </c>
      <c r="H7" s="12"/>
      <c r="I7" s="12"/>
      <c r="J7" s="12"/>
      <c r="K7" s="9"/>
      <c r="L7" s="9" t="e">
        <f>+'Base original'!Q8</f>
        <v>#NAME?</v>
      </c>
      <c r="M7" s="12"/>
      <c r="N7" s="12"/>
      <c r="O7" s="9"/>
      <c r="P7" s="9" t="e">
        <f>+'Base original'!Y8</f>
        <v>#NAME?</v>
      </c>
      <c r="Q7" s="12"/>
      <c r="R7" s="9"/>
      <c r="S7" s="10" t="e">
        <f>+'Base original'!AE8</f>
        <v>#NAME?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25">
      <c r="A19" s="20">
        <v>39083</v>
      </c>
      <c r="B19" s="12" t="e">
        <f>+'Base original'!B20/'Base original'!B8*100-100</f>
        <v>#NAME?</v>
      </c>
      <c r="C19" s="12" t="e">
        <f>+'Base original'!C20/'Base original'!C8*100-100</f>
        <v>#NAME?</v>
      </c>
      <c r="D19" s="12" t="e">
        <f>+'Base original'!D20/'Base original'!D8*100-100</f>
        <v>#NAME?</v>
      </c>
      <c r="E19" s="12" t="e">
        <f>+'Base original'!E20/'Base original'!E8*100-100</f>
        <v>#NAME?</v>
      </c>
      <c r="F19" s="9" t="e">
        <f>+'Base original'!F20/'Base original'!F8*100-100</f>
        <v>#NAME?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 t="e">
        <f>+('Base original'!AH20/'Base original'!AH8*100-100)*'Base original'!AH8/'Base original'!$AM8</f>
        <v>#NAME?</v>
      </c>
      <c r="U19" s="12" t="e">
        <f>+('Base original'!AI20/'Base original'!AI8*100-100)*'Base original'!AI8/'Base original'!$AM8</f>
        <v>#NAME?</v>
      </c>
      <c r="V19" s="12"/>
      <c r="W19" s="12"/>
      <c r="X19" s="12" t="e">
        <f>+('Base original'!AL20/'Base original'!AL8*100-100)*'Base original'!AL8/'Base original'!$AM8</f>
        <v>#NAME?</v>
      </c>
      <c r="Y19" s="9" t="e">
        <f>+('Base original'!AM20/'Base original'!AM8*100-100)*'Base original'!AM8/'Base original'!$AM8</f>
        <v>#NAME?</v>
      </c>
      <c r="Z19" s="12" t="e">
        <f>+('Base original'!AM20/'Base original'!AM8*100-100)*'Base original'!AM8/'Base original'!$AY8</f>
        <v>#NAME?</v>
      </c>
      <c r="AA19" s="12" t="e">
        <f>+('Base original'!AN20/'Base original'!AN8*100-100)*'Base original'!AN8/'Base original'!$AY8</f>
        <v>#NAME?</v>
      </c>
      <c r="AB19" s="12"/>
      <c r="AC19" s="12"/>
      <c r="AD19" s="12"/>
      <c r="AE19" s="12"/>
      <c r="AF19" s="12"/>
      <c r="AG19" s="12" t="e">
        <f>+('Base original'!AT20/'Base original'!AT8*100-100)*'Base original'!AT8/'Base original'!$AY8</f>
        <v>#NAME?</v>
      </c>
      <c r="AH19" s="12" t="e">
        <f>+('Base original'!AU20/'Base original'!AU8*100-100)*'Base original'!AU8/'Base original'!$AY8</f>
        <v>#NAME?</v>
      </c>
      <c r="AI19" s="12" t="e">
        <f>+('Base original'!AV20/'Base original'!AV8*100-100)*'Base original'!AV8/'Base original'!$AY8</f>
        <v>#NAME?</v>
      </c>
      <c r="AJ19" s="12" t="e">
        <f>+('Base original'!AW20/'Base original'!AW8*100-100)*'Base original'!AW8/'Base original'!$AY8</f>
        <v>#NAME?</v>
      </c>
      <c r="AK19" s="12" t="e">
        <f>+('Base original'!AX20/'Base original'!AX8*100-100)*'Base original'!AX8/'Base original'!$AY8</f>
        <v>#NAME?</v>
      </c>
      <c r="AL19" s="12" t="e">
        <f>+(('Base original'!AU20-'Base original'!AW20)/('Base original'!AU8-'Base original'!AW8)*100-100)*(('Base original'!AU8-'Base original'!AW8)/'Base original'!AY8)</f>
        <v>#NAME?</v>
      </c>
      <c r="AM19" s="12" t="e">
        <f>+(('Base original'!AV20-'Base original'!AX20)/('Base original'!AV8-'Base original'!AX8)*100-100)*(('Base original'!AV8-'Base original'!AX8)/'Base original'!AY8)</f>
        <v>#NAME?</v>
      </c>
      <c r="AN19" s="9" t="e">
        <f>+('Base original'!AY20/'Base original'!AY8*100-100)*'Base original'!AY8/'Base original'!$AY8</f>
        <v>#NAME?</v>
      </c>
      <c r="AO19" s="12" t="e">
        <f>+('Base original'!AY20/'Base original'!AY8*100-100)*'Base original'!AY8/'Base original'!$BJ8</f>
        <v>#NAME?</v>
      </c>
      <c r="AP19" s="12" t="e">
        <f>+('Base original'!AZ20/'Base original'!AZ8*100-100)*'Base original'!AZ8/'Base original'!$BJ8</f>
        <v>#NAME?</v>
      </c>
      <c r="AQ19" s="12" t="e">
        <f>+('Base original'!BA20/'Base original'!BA8*100-100)*'Base original'!BA8/'Base original'!$BJ8</f>
        <v>#NAME?</v>
      </c>
      <c r="AR19" s="12" t="e">
        <f>+('Base original'!BB20/'Base original'!BB8*100-100)*'Base original'!BB8/'Base original'!$BJ8</f>
        <v>#NAME?</v>
      </c>
      <c r="AS19" s="12" t="e">
        <f>+('Base original'!BC20/'Base original'!BC8*100-100)*'Base original'!BC8/'Base original'!$BJ8</f>
        <v>#NAME?</v>
      </c>
      <c r="AT19" s="12" t="e">
        <f>+('Base original'!BD20/'Base original'!BD8*100-100)*'Base original'!BD8/'Base original'!$BJ8</f>
        <v>#NAME?</v>
      </c>
      <c r="AU19" s="12" t="e">
        <f>+('Base original'!BE20/'Base original'!BE8*100-100)*'Base original'!BE8/'Base original'!$BJ8</f>
        <v>#NAME?</v>
      </c>
      <c r="AV19" s="12" t="e">
        <f>+('Base original'!BF20/'Base original'!BF8*100-100)*'Base original'!BF8/'Base original'!$BJ8</f>
        <v>#NAME?</v>
      </c>
      <c r="AW19" s="12" t="e">
        <f>+('Base original'!BG20/'Base original'!BG8*100-100)*'Base original'!BG8/'Base original'!$BJ8</f>
        <v>#NAME?</v>
      </c>
      <c r="AX19" s="12" t="e">
        <f>+('Base original'!BH20/'Base original'!BH8*100-100)*'Base original'!BH8/'Base original'!$BJ8</f>
        <v>#NAME?</v>
      </c>
      <c r="AY19" s="12" t="e">
        <f>+('Base original'!BI20/'Base original'!BI8*100-100)*'Base original'!BI8/'Base original'!$BJ8</f>
        <v>#NAME?</v>
      </c>
      <c r="AZ19" s="12" t="e">
        <f>+(('Base original'!BF20-'Base original'!BH20)/('Base original'!BF8-'Base original'!BH8)*100-100)*('Base original'!BF8-'Base original'!BH8)/'Base original'!$BJ8</f>
        <v>#NAME?</v>
      </c>
      <c r="BA19" s="12" t="e">
        <f>+(('Base original'!BG20-'Base original'!BI20)/('Base original'!BG8-'Base original'!BI8)*100-100)*('Base original'!BG8-'Base original'!BI8)/'Base original'!$BJ8</f>
        <v>#NAME?</v>
      </c>
      <c r="BB19" s="9" t="e">
        <f>+('Base original'!BJ20/'Base original'!BJ8*100-100)*'Base original'!BJ8/'Base original'!$BJ8</f>
        <v>#NAME?</v>
      </c>
      <c r="BC19" s="6"/>
    </row>
    <row r="20" spans="1:55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 t="e">
        <f>+('Base original'!AJ44/'Base original'!AJ32*100-100)*'Base original'!AJ32/'Base original'!$AM32</f>
        <v>#NAME?</v>
      </c>
      <c r="W43" s="12" t="e">
        <f>+('Base original'!AK44/'Base original'!AK32*100-100)*'Base original'!AK32/'Base original'!$AM32</f>
        <v>#NAME?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 t="e">
        <f>+('Base original'!AO44/'Base original'!AO32*100-100)*'Base original'!AO32/'Base original'!$AY32</f>
        <v>#NAME?</v>
      </c>
      <c r="AC43" s="12" t="e">
        <f>+('Base original'!AP44/'Base original'!AP32*100-100)*'Base original'!AP32/'Base original'!$AY32</f>
        <v>#NAME?</v>
      </c>
      <c r="AD43" s="12" t="e">
        <f>+('Base original'!AQ44/'Base original'!AQ32*100-100)*'Base original'!AQ32/'Base original'!$AY32</f>
        <v>#NAME?</v>
      </c>
      <c r="AE43" s="12" t="e">
        <f>+('Base original'!AR44/'Base original'!AR32*100-100)*'Base original'!AR32/'Base original'!$AY32</f>
        <v>#NAME?</v>
      </c>
      <c r="AF43" s="12" t="e">
        <f>+('Base original'!AS44/'Base original'!AS32*100-100)*'Base original'!AS32/'Base original'!$AY32</f>
        <v>#NAME?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1.1227910636477574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-0.25788667419377903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-0.47437651246534956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30.186369806408901</v>
      </c>
      <c r="V186" s="12">
        <f>+('Base original'!AJ187/'Base original'!AJ175*100-100)*'Base original'!AJ175/'Base original'!$AM175</f>
        <v>18.247100723700786</v>
      </c>
      <c r="W186" s="12">
        <f>+('Base original'!AK187/'Base original'!AK175*100-100)*'Base original'!AK175/'Base original'!$AM175</f>
        <v>11.939269082708114</v>
      </c>
      <c r="X186" s="12">
        <f>+('Base original'!AL187/'Base original'!AL175*100-100)*'Base original'!AL175/'Base original'!$AM175</f>
        <v>13.753386092649546</v>
      </c>
      <c r="Y186" s="9">
        <f>+('Base original'!AM187/'Base original'!AM175*100-100)*'Base original'!AM175/'Base original'!$AM175</f>
        <v>53.915955657430715</v>
      </c>
      <c r="Z186" s="12">
        <f>+('Base original'!AM187/'Base original'!AM175*100-100)*'Base original'!AM175/'Base original'!$AY175</f>
        <v>15.086267078946763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-9.2575241324734363E-3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0.12657472823932903</v>
      </c>
      <c r="AN186" s="9">
        <f>+('Base original'!AY187/'Base original'!AY175*100-100)*'Base original'!AY175/'Base original'!$AY175</f>
        <v>4.9388729528318862</v>
      </c>
      <c r="AO186" s="12">
        <f>+('Base original'!AY187/'Base original'!AY175*100-100)*'Base original'!AY175/'Base original'!$BJ175</f>
        <v>2.9299540106000501</v>
      </c>
      <c r="AP186" s="12">
        <f>+('Base original'!AZ187/'Base original'!AZ175*100-100)*'Base original'!AZ175/'Base original'!$BJ175</f>
        <v>1.3232902325983662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0.39090406479202205</v>
      </c>
      <c r="AX186" s="12">
        <f>+('Base original'!BH187/'Base original'!BH175*100-100)*'Base original'!BH175/'Base original'!$BJ175</f>
        <v>2.7078340452667877</v>
      </c>
      <c r="AY186" s="12">
        <f>+('Base original'!BI187/'Base original'!BI175*100-100)*'Base original'!BI175/'Base original'!$BJ175</f>
        <v>6.346369278590723E-2</v>
      </c>
      <c r="AZ186" s="12">
        <f>+(('Base original'!BF187-'Base original'!BH187)/('Base original'!BF175-'Base original'!BH175)*100-100)*('Base original'!BF175-'Base original'!BH175)/'Base original'!$BJ175</f>
        <v>-1.8108707324292284</v>
      </c>
      <c r="BA186" s="12">
        <f>+(('Base original'!BG187-'Base original'!BI187)/('Base original'!BG175-'Base original'!BI175)*100-100)*('Base original'!BG175-'Base original'!BI175)/'Base original'!$BJ175</f>
        <v>0.3274403720061147</v>
      </c>
      <c r="BB186" s="9">
        <f>+('Base original'!BJ187/'Base original'!BJ175*100-100)*'Base original'!BJ175/'Base original'!$BJ175</f>
        <v>6.7429288452894696</v>
      </c>
    </row>
    <row r="187" spans="1:54" x14ac:dyDescent="0.25">
      <c r="A187" s="20">
        <v>44197</v>
      </c>
      <c r="B187" s="12">
        <f>+'Base original'!B188/'Base original'!B176*100-100</f>
        <v>6.2012104409346733</v>
      </c>
      <c r="C187" s="12">
        <f>+'Base original'!C188/'Base original'!C176*100-100</f>
        <v>-14.421974883828881</v>
      </c>
      <c r="D187" s="12">
        <f>+'Base original'!D188/'Base original'!D176*100-100</f>
        <v>7.9421745075621004</v>
      </c>
      <c r="E187" s="12">
        <f>+'Base original'!E188/'Base original'!E176*100-100</f>
        <v>-28.187870292823987</v>
      </c>
      <c r="F187" s="9">
        <f>+'Base original'!F188/'Base original'!F176*100-100</f>
        <v>2.4637706436529783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17.808714985617744</v>
      </c>
      <c r="W187" s="12">
        <f>+('Base original'!AK188/'Base original'!AK176*100-100)*'Base original'!AK176/'Base original'!$AM176</f>
        <v>14.480577708840226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-9.7597492727729076</v>
      </c>
      <c r="AC187" s="12">
        <f>+('Base original'!AP188/'Base original'!AP176*100-100)*'Base original'!AP176/'Base original'!$AY176</f>
        <v>-5.0202883624382135</v>
      </c>
      <c r="AD187" s="12">
        <f>+('Base original'!AQ188/'Base original'!AQ176*100-100)*'Base original'!AQ176/'Base original'!$AY176</f>
        <v>-4.7394609103347518</v>
      </c>
      <c r="AE187" s="12">
        <f>+('Base original'!AR188/'Base original'!AR176*100-100)*'Base original'!AR176/'Base original'!$AY176</f>
        <v>-6.4530911460567184</v>
      </c>
      <c r="AF187" s="12">
        <f>+('Base original'!AS188/'Base original'!AS176*100-100)*'Base original'!AS176/'Base original'!$AY176</f>
        <v>-0.28891705578831978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0.95037523753074915</v>
      </c>
      <c r="AI187" s="12">
        <f>+('Base original'!AV188/'Base original'!AV176*100-100)*'Base original'!AV176/'Base original'!$AY176</f>
        <v>0.12111130667689293</v>
      </c>
      <c r="AJ187" s="12">
        <f>+('Base original'!AW188/'Base original'!AW176*100-100)*'Base original'!AW176/'Base original'!$AY176</f>
        <v>-3.8008834503111375</v>
      </c>
      <c r="AK187" s="12">
        <f>+('Base original'!AX188/'Base original'!AX176*100-100)*'Base original'!AX176/'Base original'!$AY176</f>
        <v>2.3306618398415695E-3</v>
      </c>
      <c r="AL187" s="12">
        <f>+(('Base original'!AU188-'Base original'!AW188)/('Base original'!AU176-'Base original'!AW176)*100-100)*(('Base original'!AU176-'Base original'!AW176)/'Base original'!AY176)</f>
        <v>4.7512586878418857</v>
      </c>
      <c r="AM187" s="12">
        <f>+(('Base original'!AV188-'Base original'!AX188)/('Base original'!AV176-'Base original'!AX176)*100-100)*(('Base original'!AV176-'Base original'!AX176)/'Base original'!AY176)</f>
        <v>0.1187806448370515</v>
      </c>
      <c r="AN187" s="9">
        <f>+('Base original'!AY188/'Base original'!AY176*100-100)*'Base original'!AY176/'Base original'!$AY176</f>
        <v>8.1464811550555112</v>
      </c>
      <c r="AO187" s="12">
        <f>+('Base original'!AY188/'Base original'!AY176*100-100)*'Base original'!AY176/'Base original'!$BJ176</f>
        <v>4.8036551488853876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2.4467943760396436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3.4131846370008337E-2</v>
      </c>
      <c r="AU187" s="12">
        <f>+('Base original'!BE188/'Base original'!BE176*100-100)*'Base original'!BE176/'Base original'!$BJ176</f>
        <v>1.0562400032483845</v>
      </c>
      <c r="AV187" s="12">
        <f>+('Base original'!BF188/'Base original'!BF176*100-100)*'Base original'!BF176/'Base original'!$BJ176</f>
        <v>0.86436807880410338</v>
      </c>
      <c r="AW187" s="12">
        <f>+('Base original'!BG188/'Base original'!BG176*100-100)*'Base original'!BG176/'Base original'!$BJ176</f>
        <v>0.39491946451461402</v>
      </c>
      <c r="AX187" s="12">
        <f>+('Base original'!BH188/'Base original'!BH176*100-100)*'Base original'!BH176/'Base original'!$BJ176</f>
        <v>2.9040452117087332</v>
      </c>
      <c r="AY187" s="12">
        <f>+('Base original'!BI188/'Base original'!BI176*100-100)*'Base original'!BI176/'Base original'!$BJ176</f>
        <v>6.4415548234717887E-2</v>
      </c>
      <c r="AZ187" s="12">
        <f>+(('Base original'!BF188-'Base original'!BH188)/('Base original'!BF176-'Base original'!BH176)*100-100)*('Base original'!BF176-'Base original'!BH176)/'Base original'!$BJ176</f>
        <v>-2.0396771329046293</v>
      </c>
      <c r="BA187" s="12">
        <f>+(('Base original'!BG188-'Base original'!BI188)/('Base original'!BG176-'Base original'!BI176)*100-100)*('Base original'!BG176-'Base original'!BI176)/'Base original'!$BJ176</f>
        <v>0.33050391627989611</v>
      </c>
      <c r="BB187" s="9">
        <f>+('Base original'!BJ188/'Base original'!BJ176*100-100)*'Base original'!BJ176/'Base original'!$BJ176</f>
        <v>6.9220424987851601</v>
      </c>
    </row>
    <row r="188" spans="1:54" x14ac:dyDescent="0.25">
      <c r="Y188" s="87"/>
    </row>
    <row r="189" spans="1:54" x14ac:dyDescent="0.25">
      <c r="Y189" s="87"/>
    </row>
    <row r="190" spans="1:54" x14ac:dyDescent="0.25">
      <c r="Y190" s="87"/>
    </row>
    <row r="191" spans="1:54" x14ac:dyDescent="0.25">
      <c r="Y191" s="87"/>
    </row>
    <row r="192" spans="1:54" x14ac:dyDescent="0.25">
      <c r="Y192" s="87"/>
    </row>
  </sheetData>
  <mergeCells count="18">
    <mergeCell ref="B4:F4"/>
    <mergeCell ref="G4:S4"/>
    <mergeCell ref="T4:X4"/>
    <mergeCell ref="Z4:AM4"/>
    <mergeCell ref="AO4:BA4"/>
    <mergeCell ref="B1:F1"/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187"/>
  <sheetViews>
    <sheetView showGridLines="0" workbookViewId="0">
      <pane xSplit="1" ySplit="5" topLeftCell="B170" activePane="bottomRight" state="frozen"/>
      <selection pane="topRight" activeCell="B1" sqref="B1"/>
      <selection pane="bottomLeft" activeCell="A6" sqref="A6"/>
      <selection pane="bottomRight" activeCell="A187" sqref="A187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62" t="s">
        <v>108</v>
      </c>
      <c r="C1" s="162"/>
      <c r="D1" s="162"/>
      <c r="E1" s="162"/>
      <c r="F1" s="174"/>
    </row>
    <row r="2" spans="1:9" s="4" customFormat="1" ht="21.75" customHeight="1" x14ac:dyDescent="0.25">
      <c r="A2" s="3"/>
      <c r="B2" s="171" t="s">
        <v>44</v>
      </c>
      <c r="C2" s="171"/>
      <c r="D2" s="171"/>
      <c r="E2" s="171"/>
      <c r="F2" s="178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72" t="s">
        <v>111</v>
      </c>
      <c r="C4" s="173"/>
      <c r="D4" s="173"/>
      <c r="E4" s="173"/>
      <c r="F4" s="183"/>
    </row>
    <row r="5" spans="1:9" ht="15" customHeight="1" x14ac:dyDescent="0.25">
      <c r="A5" s="3"/>
      <c r="B5" s="157" t="s">
        <v>101</v>
      </c>
      <c r="C5" s="158"/>
      <c r="D5" s="158"/>
      <c r="E5" s="158"/>
      <c r="F5" s="159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0.75114058859719535</v>
      </c>
      <c r="C187" s="12">
        <f>('Base original'!C188/'Base original'!C187*100-100)</f>
        <v>-0.90119203104956114</v>
      </c>
      <c r="D187" s="12">
        <f>('Base original'!D188/'Base original'!D187*100-100)</f>
        <v>0.81656102250475726</v>
      </c>
      <c r="E187" s="12">
        <f>('Base original'!E188/'Base original'!E187*100-100)</f>
        <v>3.2674973080741836</v>
      </c>
      <c r="F187" s="10">
        <f>('Base original'!F188/'Base original'!F187*100-100)</f>
        <v>0.71717551160223536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tabSelected="1" topLeftCell="A25" zoomScaleNormal="100" workbookViewId="0">
      <selection activeCell="N132" sqref="N131:N132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51">
        <v>43466</v>
      </c>
      <c r="P1" s="22"/>
      <c r="Q1" s="22"/>
      <c r="R1" s="22"/>
      <c r="S1" s="22"/>
      <c r="T1" s="22"/>
      <c r="U1" s="22"/>
    </row>
    <row r="2" spans="1:21" x14ac:dyDescent="0.25">
      <c r="A2" s="51">
        <v>44197</v>
      </c>
      <c r="B2" s="25" t="s">
        <v>87</v>
      </c>
      <c r="G2" s="25" t="s">
        <v>119</v>
      </c>
      <c r="L2" s="25" t="s">
        <v>120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118</v>
      </c>
      <c r="L3" s="26" t="s">
        <v>121</v>
      </c>
      <c r="P3" s="22"/>
      <c r="Q3" s="96"/>
      <c r="R3" s="96"/>
      <c r="S3" s="96"/>
      <c r="T3" s="96"/>
      <c r="U3" s="96"/>
    </row>
    <row r="4" spans="1:21" x14ac:dyDescent="0.25">
      <c r="P4" s="22"/>
      <c r="Q4" s="94"/>
      <c r="R4" s="94"/>
      <c r="S4" s="94"/>
      <c r="T4" s="94"/>
      <c r="U4" s="94"/>
    </row>
    <row r="5" spans="1:21" x14ac:dyDescent="0.25">
      <c r="P5" s="22"/>
      <c r="Q5" s="94"/>
      <c r="R5" s="94"/>
      <c r="S5" s="94"/>
      <c r="T5" s="94"/>
      <c r="U5" s="94"/>
    </row>
    <row r="6" spans="1:21" x14ac:dyDescent="0.25">
      <c r="P6" s="22"/>
      <c r="Q6" s="94"/>
      <c r="R6" s="94"/>
      <c r="S6" s="94"/>
      <c r="T6" s="94"/>
      <c r="U6" s="94"/>
    </row>
    <row r="7" spans="1:21" x14ac:dyDescent="0.25">
      <c r="P7" s="22"/>
      <c r="Q7" s="94"/>
      <c r="R7" s="94"/>
      <c r="S7" s="94"/>
      <c r="T7" s="94"/>
      <c r="U7" s="94"/>
    </row>
    <row r="8" spans="1:21" x14ac:dyDescent="0.25">
      <c r="P8" s="22"/>
      <c r="Q8" s="94"/>
      <c r="R8" s="94"/>
      <c r="S8" s="94"/>
      <c r="T8" s="94"/>
      <c r="U8" s="94"/>
    </row>
    <row r="9" spans="1:21" x14ac:dyDescent="0.25">
      <c r="P9" s="22"/>
      <c r="Q9" s="94"/>
      <c r="R9" s="94"/>
      <c r="S9" s="94"/>
      <c r="T9" s="94"/>
      <c r="U9" s="94"/>
    </row>
    <row r="10" spans="1:21" x14ac:dyDescent="0.25">
      <c r="P10" s="22"/>
      <c r="Q10" s="94"/>
      <c r="R10" s="94"/>
      <c r="S10" s="94"/>
      <c r="T10" s="94"/>
      <c r="U10" s="94"/>
    </row>
    <row r="11" spans="1:21" x14ac:dyDescent="0.25">
      <c r="P11" s="22"/>
      <c r="Q11" s="95"/>
      <c r="R11" s="95"/>
      <c r="S11" s="95"/>
      <c r="T11" s="95"/>
      <c r="U11" s="95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85" t="s">
        <v>88</v>
      </c>
      <c r="H17" s="185"/>
      <c r="I17" s="185"/>
      <c r="J17" s="185"/>
      <c r="L17" s="27" t="s">
        <v>84</v>
      </c>
    </row>
    <row r="18" spans="1:20" ht="24" customHeight="1" x14ac:dyDescent="0.25">
      <c r="B18" s="27"/>
      <c r="G18" s="185"/>
      <c r="H18" s="185"/>
      <c r="I18" s="185"/>
      <c r="J18" s="185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84" t="s">
        <v>89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</row>
    <row r="21" spans="1:20" ht="16.5" x14ac:dyDescent="0.3">
      <c r="B21" s="31" t="s">
        <v>183</v>
      </c>
      <c r="G21" s="30"/>
      <c r="H21" s="30"/>
      <c r="I21" s="30"/>
      <c r="J21" s="30"/>
      <c r="L21" s="28" t="s">
        <v>174</v>
      </c>
    </row>
    <row r="22" spans="1:20" ht="16.5" x14ac:dyDescent="0.3">
      <c r="B22" s="31" t="s">
        <v>184</v>
      </c>
      <c r="G22" s="30"/>
      <c r="H22" s="30"/>
      <c r="I22" s="30"/>
      <c r="J22" s="30"/>
      <c r="L22" s="28"/>
    </row>
    <row r="23" spans="1:20" x14ac:dyDescent="0.25">
      <c r="B23" s="186" t="s">
        <v>90</v>
      </c>
      <c r="C23" s="186"/>
      <c r="D23" s="186"/>
      <c r="E23" s="186"/>
      <c r="G23" s="186" t="s">
        <v>91</v>
      </c>
      <c r="H23" s="186"/>
      <c r="I23" s="186"/>
      <c r="J23" s="186"/>
      <c r="L23" s="186" t="s">
        <v>92</v>
      </c>
      <c r="M23" s="186"/>
      <c r="N23" s="186"/>
      <c r="O23" s="186"/>
      <c r="Q23" s="186" t="s">
        <v>93</v>
      </c>
      <c r="R23" s="186"/>
      <c r="S23" s="186"/>
      <c r="T23" s="186"/>
    </row>
    <row r="37" spans="2:20" x14ac:dyDescent="0.25">
      <c r="B37" s="5" t="s">
        <v>96</v>
      </c>
    </row>
    <row r="38" spans="2:20" x14ac:dyDescent="0.25">
      <c r="B38" s="5"/>
    </row>
    <row r="39" spans="2:20" ht="18" x14ac:dyDescent="0.4">
      <c r="B39" s="77" t="s">
        <v>175</v>
      </c>
      <c r="G39" s="29"/>
      <c r="L39" s="29"/>
      <c r="Q39" s="29"/>
    </row>
    <row r="40" spans="2:20" x14ac:dyDescent="0.25">
      <c r="B40" s="186" t="s">
        <v>90</v>
      </c>
      <c r="C40" s="186"/>
      <c r="D40" s="186"/>
      <c r="E40" s="186"/>
      <c r="G40" s="186" t="s">
        <v>91</v>
      </c>
      <c r="H40" s="186"/>
      <c r="I40" s="186"/>
      <c r="J40" s="186"/>
      <c r="L40" s="186" t="s">
        <v>92</v>
      </c>
      <c r="M40" s="186"/>
      <c r="N40" s="186"/>
      <c r="O40" s="186"/>
      <c r="Q40" s="186" t="s">
        <v>93</v>
      </c>
      <c r="R40" s="186"/>
      <c r="S40" s="186"/>
      <c r="T40" s="186"/>
    </row>
    <row r="54" spans="2:17" x14ac:dyDescent="0.25">
      <c r="B54" s="23" t="s">
        <v>96</v>
      </c>
    </row>
    <row r="55" spans="2:17" x14ac:dyDescent="0.25">
      <c r="B55" s="23"/>
    </row>
    <row r="56" spans="2:17" ht="18" x14ac:dyDescent="0.25">
      <c r="B56" s="89" t="s">
        <v>186</v>
      </c>
    </row>
    <row r="57" spans="2:17" x14ac:dyDescent="0.25">
      <c r="B57" s="23"/>
    </row>
    <row r="58" spans="2:17" x14ac:dyDescent="0.25">
      <c r="B58" s="23"/>
      <c r="D58" s="186" t="s">
        <v>90</v>
      </c>
      <c r="E58" s="186"/>
      <c r="F58" s="186"/>
      <c r="G58" s="186"/>
      <c r="I58" s="186" t="s">
        <v>136</v>
      </c>
      <c r="J58" s="186"/>
      <c r="K58" s="186"/>
      <c r="L58" s="186"/>
      <c r="N58" s="186" t="s">
        <v>92</v>
      </c>
      <c r="O58" s="186"/>
      <c r="P58" s="186"/>
      <c r="Q58" s="186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96</v>
      </c>
    </row>
    <row r="73" spans="2:20" x14ac:dyDescent="0.25">
      <c r="B73" s="23"/>
    </row>
    <row r="74" spans="2:20" ht="16.5" x14ac:dyDescent="0.25">
      <c r="B74" s="89" t="s">
        <v>176</v>
      </c>
    </row>
    <row r="75" spans="2:20" ht="16.5" x14ac:dyDescent="0.35">
      <c r="B75" s="78" t="s">
        <v>177</v>
      </c>
    </row>
    <row r="76" spans="2:20" x14ac:dyDescent="0.25">
      <c r="B76" s="186" t="s">
        <v>94</v>
      </c>
      <c r="C76" s="186"/>
      <c r="D76" s="186"/>
      <c r="E76" s="186"/>
      <c r="G76" s="186" t="s">
        <v>95</v>
      </c>
      <c r="H76" s="186"/>
      <c r="I76" s="186"/>
      <c r="J76" s="186"/>
      <c r="M76" s="88"/>
      <c r="N76" s="88" t="s">
        <v>77</v>
      </c>
      <c r="O76" s="88"/>
      <c r="Q76" s="186" t="s">
        <v>76</v>
      </c>
      <c r="R76" s="186"/>
      <c r="S76" s="186"/>
      <c r="T76" s="186"/>
    </row>
    <row r="90" spans="2:20" x14ac:dyDescent="0.25">
      <c r="B90" s="23" t="s">
        <v>96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7" t="s">
        <v>185</v>
      </c>
    </row>
    <row r="94" spans="2:20" ht="16.5" x14ac:dyDescent="0.35">
      <c r="B94" s="78" t="s">
        <v>178</v>
      </c>
    </row>
    <row r="95" spans="2:20" x14ac:dyDescent="0.25">
      <c r="B95" s="186" t="s">
        <v>42</v>
      </c>
      <c r="C95" s="186"/>
      <c r="D95" s="186"/>
      <c r="E95" s="186"/>
      <c r="G95" s="186" t="s">
        <v>97</v>
      </c>
      <c r="H95" s="186"/>
      <c r="I95" s="186"/>
      <c r="J95" s="186"/>
      <c r="L95" s="186" t="s">
        <v>98</v>
      </c>
      <c r="M95" s="186"/>
      <c r="N95" s="186"/>
      <c r="O95" s="186"/>
      <c r="Q95" s="186" t="s">
        <v>45</v>
      </c>
      <c r="R95" s="186"/>
      <c r="S95" s="186"/>
      <c r="T95" s="186"/>
    </row>
    <row r="110" spans="2:2" x14ac:dyDescent="0.25">
      <c r="B110" s="23" t="s">
        <v>88</v>
      </c>
    </row>
    <row r="113" spans="2:17" ht="16.5" x14ac:dyDescent="0.3">
      <c r="B113" s="77" t="s">
        <v>187</v>
      </c>
    </row>
    <row r="114" spans="2:17" ht="16.5" x14ac:dyDescent="0.35">
      <c r="B114" s="78" t="s">
        <v>179</v>
      </c>
    </row>
    <row r="115" spans="2:17" x14ac:dyDescent="0.25">
      <c r="B115" s="186" t="s">
        <v>37</v>
      </c>
      <c r="C115" s="186"/>
      <c r="D115" s="186"/>
      <c r="E115" s="186"/>
      <c r="H115" s="186" t="s">
        <v>38</v>
      </c>
      <c r="I115" s="186"/>
      <c r="J115" s="186"/>
      <c r="K115" s="186"/>
      <c r="N115" s="186" t="s">
        <v>41</v>
      </c>
      <c r="O115" s="186"/>
      <c r="P115" s="186"/>
      <c r="Q115" s="186"/>
    </row>
    <row r="131" spans="2:2" x14ac:dyDescent="0.25">
      <c r="B131" s="23" t="s">
        <v>99</v>
      </c>
    </row>
    <row r="132" spans="2:2" ht="20.25" x14ac:dyDescent="0.4">
      <c r="B132" s="32" t="s">
        <v>100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0"/>
  <sheetViews>
    <sheetView workbookViewId="0"/>
  </sheetViews>
  <sheetFormatPr baseColWidth="10" defaultRowHeight="15" x14ac:dyDescent="0.25"/>
  <sheetData>
    <row r="1" spans="1:14" x14ac:dyDescent="0.25">
      <c r="A1">
        <v>69</v>
      </c>
      <c r="B1" t="s">
        <v>188</v>
      </c>
    </row>
    <row r="2" spans="1:14" x14ac:dyDescent="0.25">
      <c r="A2" s="91" t="s">
        <v>188</v>
      </c>
      <c r="B2" t="s">
        <v>189</v>
      </c>
      <c r="C2" t="s">
        <v>336</v>
      </c>
      <c r="D2">
        <v>25877.188999999998</v>
      </c>
      <c r="E2" s="92">
        <v>44231.773993055554</v>
      </c>
      <c r="F2" t="b">
        <v>1</v>
      </c>
      <c r="G2" s="91" t="s">
        <v>0</v>
      </c>
      <c r="H2" s="91" t="s">
        <v>190</v>
      </c>
      <c r="I2" s="91" t="s">
        <v>337</v>
      </c>
      <c r="J2">
        <v>0</v>
      </c>
      <c r="K2" s="91" t="s">
        <v>192</v>
      </c>
      <c r="L2" t="b">
        <v>0</v>
      </c>
      <c r="M2" t="b">
        <v>0</v>
      </c>
      <c r="N2" t="b">
        <v>0</v>
      </c>
    </row>
    <row r="3" spans="1:14" x14ac:dyDescent="0.25">
      <c r="A3" s="91" t="s">
        <v>188</v>
      </c>
      <c r="B3" t="s">
        <v>193</v>
      </c>
      <c r="C3" t="s">
        <v>336</v>
      </c>
      <c r="D3">
        <v>5571.0029999999997</v>
      </c>
      <c r="E3" s="92">
        <v>44231.773993055554</v>
      </c>
      <c r="F3" t="b">
        <v>1</v>
      </c>
      <c r="G3" s="91" t="s">
        <v>1</v>
      </c>
      <c r="H3" s="91" t="s">
        <v>190</v>
      </c>
      <c r="I3" s="91" t="s">
        <v>337</v>
      </c>
      <c r="J3">
        <v>0</v>
      </c>
      <c r="K3" s="91" t="s">
        <v>192</v>
      </c>
      <c r="L3" t="b">
        <v>0</v>
      </c>
      <c r="M3" t="b">
        <v>0</v>
      </c>
      <c r="N3" t="b">
        <v>0</v>
      </c>
    </row>
    <row r="4" spans="1:14" x14ac:dyDescent="0.25">
      <c r="A4" s="91" t="s">
        <v>188</v>
      </c>
      <c r="B4" t="s">
        <v>194</v>
      </c>
      <c r="C4" t="s">
        <v>336</v>
      </c>
      <c r="D4">
        <v>9317.4879999999994</v>
      </c>
      <c r="E4" s="92">
        <v>44231.773993055554</v>
      </c>
      <c r="F4" t="b">
        <v>1</v>
      </c>
      <c r="G4" s="91" t="s">
        <v>2</v>
      </c>
      <c r="H4" s="91" t="s">
        <v>190</v>
      </c>
      <c r="I4" s="91" t="s">
        <v>337</v>
      </c>
      <c r="J4">
        <v>0</v>
      </c>
      <c r="K4" s="91" t="s">
        <v>192</v>
      </c>
      <c r="L4" t="b">
        <v>0</v>
      </c>
      <c r="M4" t="b">
        <v>0</v>
      </c>
      <c r="N4" t="b">
        <v>0</v>
      </c>
    </row>
    <row r="5" spans="1:14" x14ac:dyDescent="0.25">
      <c r="A5" s="91" t="s">
        <v>188</v>
      </c>
      <c r="B5" t="s">
        <v>195</v>
      </c>
      <c r="C5" t="s">
        <v>336</v>
      </c>
      <c r="D5">
        <v>3905.4259999999999</v>
      </c>
      <c r="E5" s="92">
        <v>44231.773993055554</v>
      </c>
      <c r="F5" t="b">
        <v>1</v>
      </c>
      <c r="G5" s="91" t="s">
        <v>3</v>
      </c>
      <c r="H5" s="91" t="s">
        <v>190</v>
      </c>
      <c r="I5" s="91" t="s">
        <v>337</v>
      </c>
      <c r="J5">
        <v>0</v>
      </c>
      <c r="K5" s="91" t="s">
        <v>192</v>
      </c>
      <c r="L5" t="b">
        <v>0</v>
      </c>
      <c r="M5" t="b">
        <v>0</v>
      </c>
      <c r="N5" t="b">
        <v>0</v>
      </c>
    </row>
    <row r="6" spans="1:14" x14ac:dyDescent="0.25">
      <c r="A6" s="91" t="s">
        <v>188</v>
      </c>
      <c r="B6" t="s">
        <v>196</v>
      </c>
      <c r="C6" t="s">
        <v>336</v>
      </c>
      <c r="D6">
        <v>44671.106</v>
      </c>
      <c r="E6" s="92">
        <v>44231.773993055554</v>
      </c>
      <c r="F6" t="b">
        <v>1</v>
      </c>
      <c r="G6" s="91" t="s">
        <v>4</v>
      </c>
      <c r="H6" s="91" t="s">
        <v>190</v>
      </c>
      <c r="I6" s="91" t="s">
        <v>337</v>
      </c>
      <c r="J6">
        <v>0</v>
      </c>
      <c r="K6" s="91" t="s">
        <v>192</v>
      </c>
      <c r="L6" t="b">
        <v>0</v>
      </c>
      <c r="M6" t="b">
        <v>0</v>
      </c>
      <c r="N6" t="b">
        <v>0</v>
      </c>
    </row>
    <row r="7" spans="1:14" x14ac:dyDescent="0.25">
      <c r="A7" s="91" t="s">
        <v>188</v>
      </c>
      <c r="B7" t="s">
        <v>197</v>
      </c>
      <c r="C7" t="s">
        <v>336</v>
      </c>
      <c r="D7">
        <v>26.840105511345499</v>
      </c>
      <c r="E7" s="92">
        <v>44231.773993055554</v>
      </c>
      <c r="F7" t="b">
        <v>1</v>
      </c>
      <c r="G7" s="91" t="s">
        <v>5</v>
      </c>
      <c r="H7" s="91" t="s">
        <v>190</v>
      </c>
      <c r="I7" s="91" t="s">
        <v>337</v>
      </c>
      <c r="J7">
        <v>0</v>
      </c>
      <c r="K7" s="91" t="s">
        <v>192</v>
      </c>
      <c r="L7" t="b">
        <v>0</v>
      </c>
      <c r="M7" t="b">
        <v>0</v>
      </c>
      <c r="N7" t="b">
        <v>0</v>
      </c>
    </row>
    <row r="8" spans="1:14" x14ac:dyDescent="0.25">
      <c r="A8" s="91" t="s">
        <v>188</v>
      </c>
      <c r="B8" t="s">
        <v>198</v>
      </c>
      <c r="C8" t="s">
        <v>336</v>
      </c>
      <c r="E8" s="92">
        <v>44231.773993055554</v>
      </c>
      <c r="F8" t="b">
        <v>1</v>
      </c>
      <c r="G8" s="91" t="s">
        <v>160</v>
      </c>
      <c r="H8" s="91" t="s">
        <v>190</v>
      </c>
      <c r="I8" s="91" t="s">
        <v>337</v>
      </c>
      <c r="J8">
        <v>0</v>
      </c>
      <c r="K8" s="91" t="s">
        <v>192</v>
      </c>
      <c r="L8" t="b">
        <v>0</v>
      </c>
      <c r="M8" t="b">
        <v>0</v>
      </c>
      <c r="N8" t="b">
        <v>0</v>
      </c>
    </row>
    <row r="9" spans="1:14" x14ac:dyDescent="0.25">
      <c r="A9" s="91" t="s">
        <v>188</v>
      </c>
      <c r="B9" t="s">
        <v>199</v>
      </c>
      <c r="C9" t="s">
        <v>336</v>
      </c>
      <c r="E9" s="92">
        <v>44231.773993055554</v>
      </c>
      <c r="F9" t="b">
        <v>1</v>
      </c>
      <c r="G9" s="91" t="s">
        <v>173</v>
      </c>
      <c r="H9" s="91" t="s">
        <v>190</v>
      </c>
      <c r="I9" s="91" t="s">
        <v>337</v>
      </c>
      <c r="J9">
        <v>0</v>
      </c>
      <c r="K9" s="91" t="s">
        <v>192</v>
      </c>
      <c r="L9" t="b">
        <v>0</v>
      </c>
      <c r="M9" t="b">
        <v>0</v>
      </c>
      <c r="N9" t="b">
        <v>0</v>
      </c>
    </row>
    <row r="10" spans="1:14" x14ac:dyDescent="0.25">
      <c r="A10" s="91" t="s">
        <v>188</v>
      </c>
      <c r="B10" t="s">
        <v>200</v>
      </c>
      <c r="C10" t="s">
        <v>336</v>
      </c>
      <c r="E10" s="92">
        <v>44231.773993055554</v>
      </c>
      <c r="F10" t="b">
        <v>1</v>
      </c>
      <c r="G10" s="91" t="s">
        <v>170</v>
      </c>
      <c r="H10" s="91" t="s">
        <v>190</v>
      </c>
      <c r="I10" s="91" t="s">
        <v>337</v>
      </c>
      <c r="J10">
        <v>0</v>
      </c>
      <c r="K10" s="91" t="s">
        <v>192</v>
      </c>
      <c r="L10" t="b">
        <v>0</v>
      </c>
      <c r="M10" t="b">
        <v>0</v>
      </c>
      <c r="N10" t="b">
        <v>0</v>
      </c>
    </row>
    <row r="11" spans="1:14" x14ac:dyDescent="0.25">
      <c r="A11" s="91" t="s">
        <v>188</v>
      </c>
      <c r="B11" t="s">
        <v>201</v>
      </c>
      <c r="C11" t="s">
        <v>336</v>
      </c>
      <c r="E11" s="92">
        <v>44231.773993055554</v>
      </c>
      <c r="F11" t="b">
        <v>1</v>
      </c>
      <c r="G11" s="91" t="s">
        <v>172</v>
      </c>
      <c r="H11" s="91" t="s">
        <v>190</v>
      </c>
      <c r="I11" s="91" t="s">
        <v>337</v>
      </c>
      <c r="J11">
        <v>0</v>
      </c>
      <c r="K11" s="91" t="s">
        <v>192</v>
      </c>
      <c r="L11" t="b">
        <v>0</v>
      </c>
      <c r="M11" t="b">
        <v>0</v>
      </c>
      <c r="N11" t="b">
        <v>0</v>
      </c>
    </row>
    <row r="12" spans="1:14" x14ac:dyDescent="0.25">
      <c r="A12" s="91" t="s">
        <v>188</v>
      </c>
      <c r="B12" t="s">
        <v>202</v>
      </c>
      <c r="C12" t="s">
        <v>336</v>
      </c>
      <c r="E12" s="92">
        <v>44231.773993055554</v>
      </c>
      <c r="F12" t="b">
        <v>1</v>
      </c>
      <c r="G12" s="91" t="s">
        <v>169</v>
      </c>
      <c r="H12" s="91" t="s">
        <v>190</v>
      </c>
      <c r="I12" s="91" t="s">
        <v>337</v>
      </c>
      <c r="J12">
        <v>0</v>
      </c>
      <c r="K12" s="91" t="s">
        <v>192</v>
      </c>
      <c r="L12" t="b">
        <v>0</v>
      </c>
      <c r="M12" t="b">
        <v>0</v>
      </c>
      <c r="N12" t="b">
        <v>0</v>
      </c>
    </row>
    <row r="13" spans="1:14" x14ac:dyDescent="0.25">
      <c r="A13" s="91" t="s">
        <v>188</v>
      </c>
      <c r="B13" t="s">
        <v>203</v>
      </c>
      <c r="C13" t="s">
        <v>336</v>
      </c>
      <c r="E13" s="92">
        <v>44231.773993055554</v>
      </c>
      <c r="F13" t="b">
        <v>1</v>
      </c>
      <c r="G13" s="91" t="s">
        <v>122</v>
      </c>
      <c r="H13" s="91" t="s">
        <v>190</v>
      </c>
      <c r="I13" s="91" t="s">
        <v>337</v>
      </c>
      <c r="J13">
        <v>0</v>
      </c>
      <c r="K13" s="91" t="s">
        <v>192</v>
      </c>
      <c r="L13" t="b">
        <v>0</v>
      </c>
      <c r="M13" t="b">
        <v>0</v>
      </c>
      <c r="N13" t="b">
        <v>0</v>
      </c>
    </row>
    <row r="14" spans="1:14" x14ac:dyDescent="0.25">
      <c r="A14" s="91" t="s">
        <v>188</v>
      </c>
      <c r="B14" t="s">
        <v>204</v>
      </c>
      <c r="C14" t="s">
        <v>336</v>
      </c>
      <c r="E14" s="92">
        <v>44231.773993055554</v>
      </c>
      <c r="F14" t="b">
        <v>1</v>
      </c>
      <c r="G14" s="91" t="s">
        <v>167</v>
      </c>
      <c r="H14" s="91" t="s">
        <v>190</v>
      </c>
      <c r="I14" s="91" t="s">
        <v>337</v>
      </c>
      <c r="J14">
        <v>0</v>
      </c>
      <c r="K14" s="91" t="s">
        <v>192</v>
      </c>
      <c r="L14" t="b">
        <v>0</v>
      </c>
      <c r="M14" t="b">
        <v>0</v>
      </c>
      <c r="N14" t="b">
        <v>0</v>
      </c>
    </row>
    <row r="15" spans="1:14" x14ac:dyDescent="0.25">
      <c r="A15" s="91" t="s">
        <v>188</v>
      </c>
      <c r="B15" t="s">
        <v>205</v>
      </c>
      <c r="C15" t="s">
        <v>336</v>
      </c>
      <c r="E15" s="92">
        <v>44231.773993055554</v>
      </c>
      <c r="F15" t="b">
        <v>1</v>
      </c>
      <c r="G15" s="91" t="s">
        <v>123</v>
      </c>
      <c r="H15" s="91" t="s">
        <v>190</v>
      </c>
      <c r="I15" s="91" t="s">
        <v>337</v>
      </c>
      <c r="J15">
        <v>0</v>
      </c>
      <c r="K15" s="91" t="s">
        <v>192</v>
      </c>
      <c r="L15" t="b">
        <v>0</v>
      </c>
      <c r="M15" t="b">
        <v>0</v>
      </c>
      <c r="N15" t="b">
        <v>0</v>
      </c>
    </row>
    <row r="16" spans="1:14" x14ac:dyDescent="0.25">
      <c r="A16" s="91" t="s">
        <v>188</v>
      </c>
      <c r="B16" t="s">
        <v>206</v>
      </c>
      <c r="C16" t="s">
        <v>336</v>
      </c>
      <c r="E16" s="92">
        <v>44231.773993055554</v>
      </c>
      <c r="F16" t="b">
        <v>1</v>
      </c>
      <c r="G16" s="91" t="s">
        <v>168</v>
      </c>
      <c r="H16" s="91" t="s">
        <v>190</v>
      </c>
      <c r="I16" s="91" t="s">
        <v>337</v>
      </c>
      <c r="J16">
        <v>0</v>
      </c>
      <c r="K16" s="91" t="s">
        <v>192</v>
      </c>
      <c r="L16" t="b">
        <v>0</v>
      </c>
      <c r="M16" t="b">
        <v>0</v>
      </c>
      <c r="N16" t="b">
        <v>0</v>
      </c>
    </row>
    <row r="17" spans="1:14" x14ac:dyDescent="0.25">
      <c r="A17" s="91" t="s">
        <v>188</v>
      </c>
      <c r="B17" t="s">
        <v>207</v>
      </c>
      <c r="C17" t="s">
        <v>336</v>
      </c>
      <c r="D17">
        <v>10.2731725726366</v>
      </c>
      <c r="E17" s="92">
        <v>44231.773993055554</v>
      </c>
      <c r="F17" t="b">
        <v>1</v>
      </c>
      <c r="G17" s="91" t="s">
        <v>6</v>
      </c>
      <c r="H17" s="91" t="s">
        <v>190</v>
      </c>
      <c r="I17" s="91" t="s">
        <v>337</v>
      </c>
      <c r="J17">
        <v>0</v>
      </c>
      <c r="K17" s="91" t="s">
        <v>192</v>
      </c>
      <c r="L17" t="b">
        <v>0</v>
      </c>
      <c r="M17" t="b">
        <v>0</v>
      </c>
      <c r="N17" t="b">
        <v>0</v>
      </c>
    </row>
    <row r="18" spans="1:14" x14ac:dyDescent="0.25">
      <c r="A18" s="91" t="s">
        <v>188</v>
      </c>
      <c r="B18" t="s">
        <v>208</v>
      </c>
      <c r="C18" t="s">
        <v>336</v>
      </c>
      <c r="E18" s="92">
        <v>44231.773993055554</v>
      </c>
      <c r="F18" t="b">
        <v>1</v>
      </c>
      <c r="G18" s="91" t="s">
        <v>158</v>
      </c>
      <c r="H18" s="91" t="s">
        <v>190</v>
      </c>
      <c r="I18" s="91" t="s">
        <v>337</v>
      </c>
      <c r="J18">
        <v>0</v>
      </c>
      <c r="K18" s="91" t="s">
        <v>192</v>
      </c>
      <c r="L18" t="b">
        <v>0</v>
      </c>
      <c r="M18" t="b">
        <v>0</v>
      </c>
      <c r="N18" t="b">
        <v>0</v>
      </c>
    </row>
    <row r="19" spans="1:14" x14ac:dyDescent="0.25">
      <c r="A19" s="91" t="s">
        <v>188</v>
      </c>
      <c r="B19" t="s">
        <v>209</v>
      </c>
      <c r="C19" t="s">
        <v>336</v>
      </c>
      <c r="E19" s="92">
        <v>44231.773993055554</v>
      </c>
      <c r="F19" t="b">
        <v>1</v>
      </c>
      <c r="G19" s="91" t="s">
        <v>171</v>
      </c>
      <c r="H19" s="91" t="s">
        <v>190</v>
      </c>
      <c r="I19" s="91" t="s">
        <v>337</v>
      </c>
      <c r="J19">
        <v>0</v>
      </c>
      <c r="K19" s="91" t="s">
        <v>192</v>
      </c>
      <c r="L19" t="b">
        <v>0</v>
      </c>
      <c r="M19" t="b">
        <v>0</v>
      </c>
      <c r="N19" t="b">
        <v>0</v>
      </c>
    </row>
    <row r="20" spans="1:14" x14ac:dyDescent="0.25">
      <c r="A20" s="91" t="s">
        <v>188</v>
      </c>
      <c r="B20" t="s">
        <v>210</v>
      </c>
      <c r="C20" t="s">
        <v>336</v>
      </c>
      <c r="E20" s="92">
        <v>44231.773993055554</v>
      </c>
      <c r="F20" t="b">
        <v>1</v>
      </c>
      <c r="G20" s="91" t="s">
        <v>164</v>
      </c>
      <c r="H20" s="91" t="s">
        <v>190</v>
      </c>
      <c r="I20" s="91" t="s">
        <v>337</v>
      </c>
      <c r="J20">
        <v>0</v>
      </c>
      <c r="K20" s="91" t="s">
        <v>192</v>
      </c>
      <c r="L20" t="b">
        <v>0</v>
      </c>
      <c r="M20" t="b">
        <v>0</v>
      </c>
      <c r="N20" t="b">
        <v>0</v>
      </c>
    </row>
    <row r="21" spans="1:14" x14ac:dyDescent="0.25">
      <c r="A21" s="91" t="s">
        <v>188</v>
      </c>
      <c r="B21" t="s">
        <v>211</v>
      </c>
      <c r="C21" t="s">
        <v>336</v>
      </c>
      <c r="E21" s="92">
        <v>44231.773993055554</v>
      </c>
      <c r="F21" t="b">
        <v>1</v>
      </c>
      <c r="G21" s="91" t="s">
        <v>124</v>
      </c>
      <c r="H21" s="91" t="s">
        <v>190</v>
      </c>
      <c r="I21" s="91" t="s">
        <v>337</v>
      </c>
      <c r="J21">
        <v>0</v>
      </c>
      <c r="K21" s="91" t="s">
        <v>192</v>
      </c>
      <c r="L21" t="b">
        <v>0</v>
      </c>
      <c r="M21" t="b">
        <v>0</v>
      </c>
      <c r="N21" t="b">
        <v>0</v>
      </c>
    </row>
    <row r="22" spans="1:14" x14ac:dyDescent="0.25">
      <c r="A22" s="91" t="s">
        <v>188</v>
      </c>
      <c r="B22" t="s">
        <v>212</v>
      </c>
      <c r="C22" t="s">
        <v>336</v>
      </c>
      <c r="E22" s="92">
        <v>44231.773993055554</v>
      </c>
      <c r="F22" t="b">
        <v>1</v>
      </c>
      <c r="G22" s="91" t="s">
        <v>162</v>
      </c>
      <c r="H22" s="91" t="s">
        <v>190</v>
      </c>
      <c r="I22" s="91" t="s">
        <v>337</v>
      </c>
      <c r="J22">
        <v>0</v>
      </c>
      <c r="K22" s="91" t="s">
        <v>192</v>
      </c>
      <c r="L22" t="b">
        <v>0</v>
      </c>
      <c r="M22" t="b">
        <v>0</v>
      </c>
      <c r="N22" t="b">
        <v>0</v>
      </c>
    </row>
    <row r="23" spans="1:14" x14ac:dyDescent="0.25">
      <c r="A23" s="91" t="s">
        <v>188</v>
      </c>
      <c r="B23" t="s">
        <v>213</v>
      </c>
      <c r="C23" t="s">
        <v>336</v>
      </c>
      <c r="E23" s="92">
        <v>44231.773993055554</v>
      </c>
      <c r="F23" t="b">
        <v>1</v>
      </c>
      <c r="G23" s="91" t="s">
        <v>125</v>
      </c>
      <c r="H23" s="91" t="s">
        <v>190</v>
      </c>
      <c r="I23" s="91" t="s">
        <v>337</v>
      </c>
      <c r="J23">
        <v>0</v>
      </c>
      <c r="K23" s="91" t="s">
        <v>192</v>
      </c>
      <c r="L23" t="b">
        <v>0</v>
      </c>
      <c r="M23" t="b">
        <v>0</v>
      </c>
      <c r="N23" t="b">
        <v>0</v>
      </c>
    </row>
    <row r="24" spans="1:14" x14ac:dyDescent="0.25">
      <c r="A24" s="91" t="s">
        <v>188</v>
      </c>
      <c r="B24" t="s">
        <v>214</v>
      </c>
      <c r="C24" t="s">
        <v>336</v>
      </c>
      <c r="E24" s="92">
        <v>44231.773993055554</v>
      </c>
      <c r="F24" t="b">
        <v>1</v>
      </c>
      <c r="G24" s="91" t="s">
        <v>163</v>
      </c>
      <c r="H24" s="91" t="s">
        <v>190</v>
      </c>
      <c r="I24" s="91" t="s">
        <v>337</v>
      </c>
      <c r="J24">
        <v>0</v>
      </c>
      <c r="K24" s="91" t="s">
        <v>192</v>
      </c>
      <c r="L24" t="b">
        <v>0</v>
      </c>
      <c r="M24" t="b">
        <v>0</v>
      </c>
      <c r="N24" t="b">
        <v>0</v>
      </c>
    </row>
    <row r="25" spans="1:14" x14ac:dyDescent="0.25">
      <c r="A25" s="91" t="s">
        <v>188</v>
      </c>
      <c r="B25" t="s">
        <v>215</v>
      </c>
      <c r="C25" t="s">
        <v>336</v>
      </c>
      <c r="D25">
        <v>5.28923438819597</v>
      </c>
      <c r="E25" s="92">
        <v>44231.773993055554</v>
      </c>
      <c r="F25" t="b">
        <v>1</v>
      </c>
      <c r="G25" s="91" t="s">
        <v>7</v>
      </c>
      <c r="H25" s="91" t="s">
        <v>190</v>
      </c>
      <c r="I25" s="91" t="s">
        <v>337</v>
      </c>
      <c r="J25">
        <v>0</v>
      </c>
      <c r="K25" s="91" t="s">
        <v>192</v>
      </c>
      <c r="L25" t="b">
        <v>0</v>
      </c>
      <c r="M25" t="b">
        <v>0</v>
      </c>
      <c r="N25" t="b">
        <v>0</v>
      </c>
    </row>
    <row r="26" spans="1:14" x14ac:dyDescent="0.25">
      <c r="A26" s="91" t="s">
        <v>188</v>
      </c>
      <c r="B26" t="s">
        <v>216</v>
      </c>
      <c r="C26" t="s">
        <v>336</v>
      </c>
      <c r="E26" s="92">
        <v>44231.773993055554</v>
      </c>
      <c r="F26" t="b">
        <v>1</v>
      </c>
      <c r="G26" s="91" t="s">
        <v>159</v>
      </c>
      <c r="H26" s="91" t="s">
        <v>190</v>
      </c>
      <c r="I26" s="91" t="s">
        <v>337</v>
      </c>
      <c r="J26">
        <v>0</v>
      </c>
      <c r="K26" s="91" t="s">
        <v>192</v>
      </c>
      <c r="L26" t="b">
        <v>0</v>
      </c>
      <c r="M26" t="b">
        <v>0</v>
      </c>
      <c r="N26" t="b">
        <v>0</v>
      </c>
    </row>
    <row r="27" spans="1:14" x14ac:dyDescent="0.25">
      <c r="A27" s="91" t="s">
        <v>188</v>
      </c>
      <c r="B27" t="s">
        <v>217</v>
      </c>
      <c r="C27" t="s">
        <v>336</v>
      </c>
      <c r="E27" s="92">
        <v>44231.773993055554</v>
      </c>
      <c r="F27" t="b">
        <v>1</v>
      </c>
      <c r="G27" s="91" t="s">
        <v>126</v>
      </c>
      <c r="H27" s="91" t="s">
        <v>190</v>
      </c>
      <c r="I27" s="91" t="s">
        <v>337</v>
      </c>
      <c r="J27">
        <v>0</v>
      </c>
      <c r="K27" s="91" t="s">
        <v>192</v>
      </c>
      <c r="L27" t="b">
        <v>0</v>
      </c>
      <c r="M27" t="b">
        <v>0</v>
      </c>
      <c r="N27" t="b">
        <v>0</v>
      </c>
    </row>
    <row r="28" spans="1:14" x14ac:dyDescent="0.25">
      <c r="A28" s="91" t="s">
        <v>188</v>
      </c>
      <c r="B28" t="s">
        <v>218</v>
      </c>
      <c r="C28" t="s">
        <v>336</v>
      </c>
      <c r="E28" s="92">
        <v>44231.773993055554</v>
      </c>
      <c r="F28" t="b">
        <v>1</v>
      </c>
      <c r="G28" s="91" t="s">
        <v>165</v>
      </c>
      <c r="H28" s="91" t="s">
        <v>190</v>
      </c>
      <c r="I28" s="91" t="s">
        <v>337</v>
      </c>
      <c r="J28">
        <v>0</v>
      </c>
      <c r="K28" s="91" t="s">
        <v>192</v>
      </c>
      <c r="L28" t="b">
        <v>0</v>
      </c>
      <c r="M28" t="b">
        <v>0</v>
      </c>
      <c r="N28" t="b">
        <v>0</v>
      </c>
    </row>
    <row r="29" spans="1:14" x14ac:dyDescent="0.25">
      <c r="A29" s="91" t="s">
        <v>188</v>
      </c>
      <c r="B29" t="s">
        <v>219</v>
      </c>
      <c r="C29" t="s">
        <v>336</v>
      </c>
      <c r="E29" s="92">
        <v>44231.773993055554</v>
      </c>
      <c r="F29" t="b">
        <v>1</v>
      </c>
      <c r="G29" s="91" t="s">
        <v>127</v>
      </c>
      <c r="H29" s="91" t="s">
        <v>190</v>
      </c>
      <c r="I29" s="91" t="s">
        <v>337</v>
      </c>
      <c r="J29">
        <v>0</v>
      </c>
      <c r="K29" s="91" t="s">
        <v>192</v>
      </c>
      <c r="L29" t="b">
        <v>0</v>
      </c>
      <c r="M29" t="b">
        <v>0</v>
      </c>
      <c r="N29" t="b">
        <v>0</v>
      </c>
    </row>
    <row r="30" spans="1:14" x14ac:dyDescent="0.25">
      <c r="A30" s="91" t="s">
        <v>188</v>
      </c>
      <c r="B30" t="s">
        <v>220</v>
      </c>
      <c r="C30" t="s">
        <v>336</v>
      </c>
      <c r="E30" s="92">
        <v>44231.773993055554</v>
      </c>
      <c r="F30" t="b">
        <v>1</v>
      </c>
      <c r="G30" s="91" t="s">
        <v>166</v>
      </c>
      <c r="H30" s="91" t="s">
        <v>190</v>
      </c>
      <c r="I30" s="91" t="s">
        <v>337</v>
      </c>
      <c r="J30">
        <v>0</v>
      </c>
      <c r="K30" s="91" t="s">
        <v>192</v>
      </c>
      <c r="L30" t="b">
        <v>0</v>
      </c>
      <c r="M30" t="b">
        <v>0</v>
      </c>
      <c r="N30" t="b">
        <v>0</v>
      </c>
    </row>
    <row r="31" spans="1:14" x14ac:dyDescent="0.25">
      <c r="A31" s="91" t="s">
        <v>188</v>
      </c>
      <c r="B31" t="s">
        <v>221</v>
      </c>
      <c r="C31" t="s">
        <v>336</v>
      </c>
      <c r="D31">
        <v>5.31</v>
      </c>
      <c r="E31" s="92">
        <v>44231.773993055554</v>
      </c>
      <c r="F31" t="b">
        <v>1</v>
      </c>
      <c r="G31" s="91" t="s">
        <v>8</v>
      </c>
      <c r="H31" s="91" t="s">
        <v>190</v>
      </c>
      <c r="I31" s="91" t="s">
        <v>337</v>
      </c>
      <c r="J31">
        <v>0</v>
      </c>
      <c r="K31" s="91" t="s">
        <v>192</v>
      </c>
      <c r="L31" t="b">
        <v>0</v>
      </c>
      <c r="M31" t="b">
        <v>0</v>
      </c>
      <c r="N31" t="b">
        <v>0</v>
      </c>
    </row>
    <row r="32" spans="1:14" x14ac:dyDescent="0.25">
      <c r="A32" s="91" t="s">
        <v>188</v>
      </c>
      <c r="B32" t="s">
        <v>222</v>
      </c>
      <c r="C32" t="s">
        <v>336</v>
      </c>
      <c r="E32" s="92">
        <v>44231.773993055554</v>
      </c>
      <c r="F32" t="b">
        <v>1</v>
      </c>
      <c r="G32" s="91" t="s">
        <v>161</v>
      </c>
      <c r="H32" s="91" t="s">
        <v>190</v>
      </c>
      <c r="I32" s="91" t="s">
        <v>337</v>
      </c>
      <c r="J32">
        <v>0</v>
      </c>
      <c r="K32" s="91" t="s">
        <v>192</v>
      </c>
      <c r="L32" t="b">
        <v>0</v>
      </c>
      <c r="M32" t="b">
        <v>0</v>
      </c>
      <c r="N32" t="b">
        <v>0</v>
      </c>
    </row>
    <row r="33" spans="1:14" x14ac:dyDescent="0.25">
      <c r="A33" s="91" t="s">
        <v>188</v>
      </c>
      <c r="B33" t="s">
        <v>223</v>
      </c>
      <c r="C33" t="s">
        <v>336</v>
      </c>
      <c r="D33">
        <v>2757.7020000000002</v>
      </c>
      <c r="E33" s="92">
        <v>44231.773993055554</v>
      </c>
      <c r="F33" t="b">
        <v>1</v>
      </c>
      <c r="G33" s="91" t="s">
        <v>13</v>
      </c>
      <c r="H33" s="91" t="s">
        <v>190</v>
      </c>
      <c r="I33" s="91" t="s">
        <v>337</v>
      </c>
      <c r="J33">
        <v>0</v>
      </c>
      <c r="K33" s="91" t="s">
        <v>192</v>
      </c>
      <c r="L33" t="b">
        <v>0</v>
      </c>
      <c r="M33" t="b">
        <v>0</v>
      </c>
      <c r="N33" t="b">
        <v>0</v>
      </c>
    </row>
    <row r="34" spans="1:14" x14ac:dyDescent="0.25">
      <c r="A34" s="91" t="s">
        <v>188</v>
      </c>
      <c r="B34" t="s">
        <v>224</v>
      </c>
      <c r="C34" t="s">
        <v>336</v>
      </c>
      <c r="D34">
        <v>1694</v>
      </c>
      <c r="E34" s="92">
        <v>44231.773993055554</v>
      </c>
      <c r="F34" t="b">
        <v>1</v>
      </c>
      <c r="G34" s="91" t="s">
        <v>14</v>
      </c>
      <c r="H34" s="91" t="s">
        <v>190</v>
      </c>
      <c r="I34" s="91" t="s">
        <v>337</v>
      </c>
      <c r="J34">
        <v>0</v>
      </c>
      <c r="K34" s="91" t="s">
        <v>192</v>
      </c>
      <c r="L34" t="b">
        <v>0</v>
      </c>
      <c r="M34" t="b">
        <v>0</v>
      </c>
      <c r="N34" t="b">
        <v>0</v>
      </c>
    </row>
    <row r="35" spans="1:14" x14ac:dyDescent="0.25">
      <c r="A35" s="91" t="s">
        <v>188</v>
      </c>
      <c r="B35" t="s">
        <v>225</v>
      </c>
      <c r="C35" t="s">
        <v>336</v>
      </c>
      <c r="D35">
        <v>4523.3099999999995</v>
      </c>
      <c r="E35" s="92">
        <v>44231.773993055554</v>
      </c>
      <c r="F35" t="b">
        <v>1</v>
      </c>
      <c r="G35" s="91" t="s">
        <v>15</v>
      </c>
      <c r="H35" s="91" t="s">
        <v>190</v>
      </c>
      <c r="I35" s="91" t="s">
        <v>337</v>
      </c>
      <c r="J35">
        <v>0</v>
      </c>
      <c r="K35" s="91" t="s">
        <v>192</v>
      </c>
      <c r="L35" t="b">
        <v>0</v>
      </c>
      <c r="M35" t="b">
        <v>0</v>
      </c>
      <c r="N35" t="b">
        <v>0</v>
      </c>
    </row>
    <row r="36" spans="1:14" x14ac:dyDescent="0.25">
      <c r="A36" s="91" t="s">
        <v>188</v>
      </c>
      <c r="B36" t="s">
        <v>226</v>
      </c>
      <c r="C36" t="s">
        <v>336</v>
      </c>
      <c r="D36">
        <v>1360.3000000000002</v>
      </c>
      <c r="E36" s="92">
        <v>44231.773993055554</v>
      </c>
      <c r="F36" t="b">
        <v>1</v>
      </c>
      <c r="G36" s="91" t="s">
        <v>16</v>
      </c>
      <c r="H36" s="91" t="s">
        <v>190</v>
      </c>
      <c r="I36" s="91" t="s">
        <v>337</v>
      </c>
      <c r="J36">
        <v>0</v>
      </c>
      <c r="K36" s="91" t="s">
        <v>192</v>
      </c>
      <c r="L36" t="b">
        <v>0</v>
      </c>
      <c r="M36" t="b">
        <v>0</v>
      </c>
      <c r="N36" t="b">
        <v>0</v>
      </c>
    </row>
    <row r="37" spans="1:14" x14ac:dyDescent="0.25">
      <c r="A37" s="91" t="s">
        <v>188</v>
      </c>
      <c r="B37" t="s">
        <v>227</v>
      </c>
      <c r="C37" t="s">
        <v>336</v>
      </c>
      <c r="D37">
        <v>7577.61</v>
      </c>
      <c r="E37" s="92">
        <v>44231.773993055554</v>
      </c>
      <c r="F37" t="b">
        <v>1</v>
      </c>
      <c r="G37" s="91" t="s">
        <v>17</v>
      </c>
      <c r="H37" s="91" t="s">
        <v>190</v>
      </c>
      <c r="I37" s="91" t="s">
        <v>337</v>
      </c>
      <c r="J37">
        <v>0</v>
      </c>
      <c r="K37" s="91" t="s">
        <v>192</v>
      </c>
      <c r="L37" t="b">
        <v>0</v>
      </c>
      <c r="M37" t="b">
        <v>0</v>
      </c>
      <c r="N37" t="b">
        <v>0</v>
      </c>
    </row>
    <row r="38" spans="1:14" x14ac:dyDescent="0.25">
      <c r="A38" s="91" t="s">
        <v>188</v>
      </c>
      <c r="B38" t="s">
        <v>228</v>
      </c>
      <c r="C38" t="s">
        <v>336</v>
      </c>
      <c r="D38">
        <v>23131.487499999999</v>
      </c>
      <c r="E38" s="92">
        <v>44231.773993055554</v>
      </c>
      <c r="F38" t="b">
        <v>1</v>
      </c>
      <c r="G38" s="91" t="s">
        <v>18</v>
      </c>
      <c r="H38" s="91" t="s">
        <v>190</v>
      </c>
      <c r="I38" s="91" t="s">
        <v>337</v>
      </c>
      <c r="J38">
        <v>0</v>
      </c>
      <c r="K38" s="91" t="s">
        <v>192</v>
      </c>
      <c r="L38" t="b">
        <v>0</v>
      </c>
      <c r="M38" t="b">
        <v>0</v>
      </c>
      <c r="N38" t="b">
        <v>0</v>
      </c>
    </row>
    <row r="39" spans="1:14" x14ac:dyDescent="0.25">
      <c r="A39" s="91" t="s">
        <v>188</v>
      </c>
      <c r="B39" t="s">
        <v>229</v>
      </c>
      <c r="C39" t="s">
        <v>336</v>
      </c>
      <c r="D39">
        <v>2244.9699999999998</v>
      </c>
      <c r="E39" s="92">
        <v>44231.773993055554</v>
      </c>
      <c r="F39" t="b">
        <v>1</v>
      </c>
      <c r="G39" s="91" t="s">
        <v>19</v>
      </c>
      <c r="H39" s="91" t="s">
        <v>190</v>
      </c>
      <c r="I39" s="91" t="s">
        <v>337</v>
      </c>
      <c r="J39">
        <v>0</v>
      </c>
      <c r="K39" s="91" t="s">
        <v>192</v>
      </c>
      <c r="L39" t="b">
        <v>0</v>
      </c>
      <c r="M39" t="b">
        <v>0</v>
      </c>
      <c r="N39" t="b">
        <v>0</v>
      </c>
    </row>
    <row r="40" spans="1:14" x14ac:dyDescent="0.25">
      <c r="A40" s="91" t="s">
        <v>188</v>
      </c>
      <c r="B40" t="s">
        <v>230</v>
      </c>
      <c r="C40" t="s">
        <v>336</v>
      </c>
      <c r="D40">
        <v>3330.57</v>
      </c>
      <c r="E40" s="92">
        <v>44231.773993055554</v>
      </c>
      <c r="F40" t="b">
        <v>1</v>
      </c>
      <c r="G40" s="91" t="s">
        <v>20</v>
      </c>
      <c r="H40" s="91" t="s">
        <v>190</v>
      </c>
      <c r="I40" s="91" t="s">
        <v>337</v>
      </c>
      <c r="J40">
        <v>0</v>
      </c>
      <c r="K40" s="91" t="s">
        <v>192</v>
      </c>
      <c r="L40" t="b">
        <v>0</v>
      </c>
      <c r="M40" t="b">
        <v>0</v>
      </c>
      <c r="N40" t="b">
        <v>0</v>
      </c>
    </row>
    <row r="41" spans="1:14" x14ac:dyDescent="0.25">
      <c r="A41" s="91" t="s">
        <v>188</v>
      </c>
      <c r="B41" t="s">
        <v>231</v>
      </c>
      <c r="C41" t="s">
        <v>336</v>
      </c>
      <c r="D41">
        <v>110.16</v>
      </c>
      <c r="E41" s="92">
        <v>44231.773993055554</v>
      </c>
      <c r="F41" t="b">
        <v>1</v>
      </c>
      <c r="G41" s="91" t="s">
        <v>21</v>
      </c>
      <c r="H41" s="91" t="s">
        <v>190</v>
      </c>
      <c r="I41" s="91" t="s">
        <v>337</v>
      </c>
      <c r="J41">
        <v>0</v>
      </c>
      <c r="K41" s="91" t="s">
        <v>192</v>
      </c>
      <c r="L41" t="b">
        <v>0</v>
      </c>
      <c r="M41" t="b">
        <v>0</v>
      </c>
      <c r="N41" t="b">
        <v>0</v>
      </c>
    </row>
    <row r="42" spans="1:14" x14ac:dyDescent="0.25">
      <c r="A42" s="91" t="s">
        <v>188</v>
      </c>
      <c r="B42" t="s">
        <v>232</v>
      </c>
      <c r="C42" t="s">
        <v>336</v>
      </c>
      <c r="D42">
        <v>3111.66</v>
      </c>
      <c r="E42" s="92">
        <v>44231.773993055554</v>
      </c>
      <c r="F42" t="b">
        <v>1</v>
      </c>
      <c r="G42" s="91" t="s">
        <v>22</v>
      </c>
      <c r="H42" s="91" t="s">
        <v>190</v>
      </c>
      <c r="I42" s="91" t="s">
        <v>337</v>
      </c>
      <c r="J42">
        <v>0</v>
      </c>
      <c r="K42" s="91" t="s">
        <v>192</v>
      </c>
      <c r="L42" t="b">
        <v>0</v>
      </c>
      <c r="M42" t="b">
        <v>0</v>
      </c>
      <c r="N42" t="b">
        <v>0</v>
      </c>
    </row>
    <row r="43" spans="1:14" x14ac:dyDescent="0.25">
      <c r="A43" s="91" t="s">
        <v>188</v>
      </c>
      <c r="B43" t="s">
        <v>233</v>
      </c>
      <c r="C43" t="s">
        <v>336</v>
      </c>
      <c r="D43">
        <v>8.4700000000000006</v>
      </c>
      <c r="E43" s="92">
        <v>44231.773993055554</v>
      </c>
      <c r="F43" t="b">
        <v>1</v>
      </c>
      <c r="G43" s="91" t="s">
        <v>23</v>
      </c>
      <c r="H43" s="91" t="s">
        <v>190</v>
      </c>
      <c r="I43" s="91" t="s">
        <v>337</v>
      </c>
      <c r="J43">
        <v>0</v>
      </c>
      <c r="K43" s="91" t="s">
        <v>192</v>
      </c>
      <c r="L43" t="b">
        <v>0</v>
      </c>
      <c r="M43" t="b">
        <v>0</v>
      </c>
      <c r="N43" t="b">
        <v>0</v>
      </c>
    </row>
    <row r="44" spans="1:14" x14ac:dyDescent="0.25">
      <c r="A44" s="91" t="s">
        <v>188</v>
      </c>
      <c r="B44" t="s">
        <v>234</v>
      </c>
      <c r="C44" t="s">
        <v>336</v>
      </c>
      <c r="D44">
        <v>33274.667500000003</v>
      </c>
      <c r="E44" s="92">
        <v>44231.774004629631</v>
      </c>
      <c r="F44" t="b">
        <v>1</v>
      </c>
      <c r="G44" s="91" t="s">
        <v>24</v>
      </c>
      <c r="H44" s="91" t="s">
        <v>190</v>
      </c>
      <c r="I44" s="91" t="s">
        <v>337</v>
      </c>
      <c r="J44">
        <v>0</v>
      </c>
      <c r="K44" s="91" t="s">
        <v>192</v>
      </c>
      <c r="L44" t="b">
        <v>0</v>
      </c>
      <c r="M44" t="b">
        <v>0</v>
      </c>
      <c r="N44" t="b">
        <v>0</v>
      </c>
    </row>
    <row r="45" spans="1:14" x14ac:dyDescent="0.25">
      <c r="A45" s="91" t="s">
        <v>188</v>
      </c>
      <c r="B45" t="s">
        <v>235</v>
      </c>
      <c r="C45" t="s">
        <v>336</v>
      </c>
      <c r="D45">
        <v>3263.92</v>
      </c>
      <c r="E45" s="92">
        <v>44231.774004629631</v>
      </c>
      <c r="F45" t="b">
        <v>1</v>
      </c>
      <c r="G45" s="91" t="s">
        <v>25</v>
      </c>
      <c r="H45" s="91" t="s">
        <v>190</v>
      </c>
      <c r="I45" s="91" t="s">
        <v>337</v>
      </c>
      <c r="J45">
        <v>0</v>
      </c>
      <c r="K45" s="91" t="s">
        <v>192</v>
      </c>
      <c r="L45" t="b">
        <v>0</v>
      </c>
      <c r="M45" t="b">
        <v>0</v>
      </c>
      <c r="N45" t="b">
        <v>0</v>
      </c>
    </row>
    <row r="46" spans="1:14" x14ac:dyDescent="0.25">
      <c r="A46" s="91" t="s">
        <v>188</v>
      </c>
      <c r="B46" t="s">
        <v>236</v>
      </c>
      <c r="C46" t="s">
        <v>336</v>
      </c>
      <c r="D46">
        <v>6603.07</v>
      </c>
      <c r="E46" s="92">
        <v>44231.774004629631</v>
      </c>
      <c r="F46" t="b">
        <v>1</v>
      </c>
      <c r="G46" s="91" t="s">
        <v>26</v>
      </c>
      <c r="H46" s="91" t="s">
        <v>190</v>
      </c>
      <c r="I46" s="91" t="s">
        <v>337</v>
      </c>
      <c r="J46">
        <v>0</v>
      </c>
      <c r="K46" s="91" t="s">
        <v>192</v>
      </c>
      <c r="L46" t="b">
        <v>0</v>
      </c>
      <c r="M46" t="b">
        <v>0</v>
      </c>
      <c r="N46" t="b">
        <v>0</v>
      </c>
    </row>
    <row r="47" spans="1:14" x14ac:dyDescent="0.25">
      <c r="A47" s="91" t="s">
        <v>188</v>
      </c>
      <c r="B47" t="s">
        <v>237</v>
      </c>
      <c r="C47" t="s">
        <v>336</v>
      </c>
      <c r="D47">
        <v>1040.99</v>
      </c>
      <c r="E47" s="92">
        <v>44231.774004629631</v>
      </c>
      <c r="F47" t="b">
        <v>1</v>
      </c>
      <c r="G47" s="91" t="s">
        <v>27</v>
      </c>
      <c r="H47" s="91" t="s">
        <v>190</v>
      </c>
      <c r="I47" s="91" t="s">
        <v>337</v>
      </c>
      <c r="J47">
        <v>0</v>
      </c>
      <c r="K47" s="91" t="s">
        <v>192</v>
      </c>
      <c r="L47" t="b">
        <v>0</v>
      </c>
      <c r="M47" t="b">
        <v>0</v>
      </c>
      <c r="N47" t="b">
        <v>0</v>
      </c>
    </row>
    <row r="48" spans="1:14" x14ac:dyDescent="0.25">
      <c r="A48" s="91" t="s">
        <v>188</v>
      </c>
      <c r="B48" t="s">
        <v>238</v>
      </c>
      <c r="C48" t="s">
        <v>336</v>
      </c>
      <c r="D48">
        <v>4253.96</v>
      </c>
      <c r="E48" s="92">
        <v>44231.774004629631</v>
      </c>
      <c r="F48" t="b">
        <v>1</v>
      </c>
      <c r="G48" s="91" t="s">
        <v>28</v>
      </c>
      <c r="H48" s="91" t="s">
        <v>190</v>
      </c>
      <c r="I48" s="91" t="s">
        <v>337</v>
      </c>
      <c r="J48">
        <v>0</v>
      </c>
      <c r="K48" s="91" t="s">
        <v>192</v>
      </c>
      <c r="L48" t="b">
        <v>0</v>
      </c>
      <c r="M48" t="b">
        <v>0</v>
      </c>
      <c r="N48" t="b">
        <v>0</v>
      </c>
    </row>
    <row r="49" spans="1:14" x14ac:dyDescent="0.25">
      <c r="A49" s="91" t="s">
        <v>188</v>
      </c>
      <c r="B49" t="s">
        <v>316</v>
      </c>
      <c r="C49" t="s">
        <v>336</v>
      </c>
      <c r="D49">
        <v>352.74</v>
      </c>
      <c r="E49" s="92">
        <v>44231.774004629631</v>
      </c>
      <c r="F49" t="b">
        <v>1</v>
      </c>
      <c r="G49" s="91" t="s">
        <v>29</v>
      </c>
      <c r="H49" s="91" t="s">
        <v>190</v>
      </c>
      <c r="I49" s="91" t="s">
        <v>337</v>
      </c>
      <c r="J49">
        <v>0</v>
      </c>
      <c r="K49" s="91" t="s">
        <v>192</v>
      </c>
      <c r="L49" t="b">
        <v>0</v>
      </c>
      <c r="M49" t="b">
        <v>0</v>
      </c>
      <c r="N49" t="b">
        <v>0</v>
      </c>
    </row>
    <row r="50" spans="1:14" x14ac:dyDescent="0.25">
      <c r="A50" s="91" t="s">
        <v>188</v>
      </c>
      <c r="B50" t="s">
        <v>239</v>
      </c>
      <c r="C50" t="s">
        <v>336</v>
      </c>
      <c r="D50">
        <v>8243.9500000000007</v>
      </c>
      <c r="E50" s="92">
        <v>44231.774004629631</v>
      </c>
      <c r="F50" t="b">
        <v>1</v>
      </c>
      <c r="G50" s="91" t="s">
        <v>30</v>
      </c>
      <c r="H50" s="91" t="s">
        <v>190</v>
      </c>
      <c r="I50" s="91" t="s">
        <v>337</v>
      </c>
      <c r="J50">
        <v>0</v>
      </c>
      <c r="K50" s="91" t="s">
        <v>192</v>
      </c>
      <c r="L50" t="b">
        <v>0</v>
      </c>
      <c r="M50" t="b">
        <v>0</v>
      </c>
      <c r="N50" t="b">
        <v>0</v>
      </c>
    </row>
    <row r="51" spans="1:14" x14ac:dyDescent="0.25">
      <c r="A51" s="91" t="s">
        <v>188</v>
      </c>
      <c r="B51" t="s">
        <v>240</v>
      </c>
      <c r="C51" t="s">
        <v>336</v>
      </c>
      <c r="D51">
        <v>3443.76</v>
      </c>
      <c r="E51" s="92">
        <v>44231.774004629631</v>
      </c>
      <c r="F51" t="b">
        <v>1</v>
      </c>
      <c r="G51" s="91" t="s">
        <v>31</v>
      </c>
      <c r="H51" s="91" t="s">
        <v>190</v>
      </c>
      <c r="I51" s="91" t="s">
        <v>337</v>
      </c>
      <c r="J51">
        <v>0</v>
      </c>
      <c r="K51" s="91" t="s">
        <v>192</v>
      </c>
      <c r="L51" t="b">
        <v>0</v>
      </c>
      <c r="M51" t="b">
        <v>0</v>
      </c>
      <c r="N51" t="b">
        <v>0</v>
      </c>
    </row>
    <row r="52" spans="1:14" x14ac:dyDescent="0.25">
      <c r="A52" s="91" t="s">
        <v>188</v>
      </c>
      <c r="B52" t="s">
        <v>241</v>
      </c>
      <c r="C52" t="s">
        <v>336</v>
      </c>
      <c r="D52">
        <v>408.65</v>
      </c>
      <c r="E52" s="92">
        <v>44231.774004629631</v>
      </c>
      <c r="F52" t="b">
        <v>1</v>
      </c>
      <c r="G52" s="91" t="s">
        <v>32</v>
      </c>
      <c r="H52" s="91" t="s">
        <v>190</v>
      </c>
      <c r="I52" s="91" t="s">
        <v>337</v>
      </c>
      <c r="J52">
        <v>0</v>
      </c>
      <c r="K52" s="91" t="s">
        <v>192</v>
      </c>
      <c r="L52" t="b">
        <v>0</v>
      </c>
      <c r="M52" t="b">
        <v>0</v>
      </c>
      <c r="N52" t="b">
        <v>0</v>
      </c>
    </row>
    <row r="53" spans="1:14" x14ac:dyDescent="0.25">
      <c r="A53" s="91" t="s">
        <v>188</v>
      </c>
      <c r="B53" t="s">
        <v>242</v>
      </c>
      <c r="C53" t="s">
        <v>336</v>
      </c>
      <c r="D53">
        <v>2312.86</v>
      </c>
      <c r="E53" s="92">
        <v>44231.774004629631</v>
      </c>
      <c r="F53" t="b">
        <v>1</v>
      </c>
      <c r="G53" s="91" t="s">
        <v>33</v>
      </c>
      <c r="H53" s="91" t="s">
        <v>190</v>
      </c>
      <c r="I53" s="91" t="s">
        <v>337</v>
      </c>
      <c r="J53">
        <v>0</v>
      </c>
      <c r="K53" s="91" t="s">
        <v>192</v>
      </c>
      <c r="L53" t="b">
        <v>0</v>
      </c>
      <c r="M53" t="b">
        <v>0</v>
      </c>
      <c r="N53" t="b">
        <v>0</v>
      </c>
    </row>
    <row r="54" spans="1:14" x14ac:dyDescent="0.25">
      <c r="A54" s="91" t="s">
        <v>188</v>
      </c>
      <c r="B54" t="s">
        <v>243</v>
      </c>
      <c r="C54" t="s">
        <v>336</v>
      </c>
      <c r="D54">
        <v>161.41</v>
      </c>
      <c r="E54" s="92">
        <v>44231.774004629631</v>
      </c>
      <c r="F54" t="b">
        <v>1</v>
      </c>
      <c r="G54" s="91" t="s">
        <v>34</v>
      </c>
      <c r="H54" s="91" t="s">
        <v>190</v>
      </c>
      <c r="I54" s="91" t="s">
        <v>337</v>
      </c>
      <c r="J54">
        <v>0</v>
      </c>
      <c r="K54" s="91" t="s">
        <v>192</v>
      </c>
      <c r="L54" t="b">
        <v>0</v>
      </c>
      <c r="M54" t="b">
        <v>0</v>
      </c>
      <c r="N54" t="b">
        <v>0</v>
      </c>
    </row>
    <row r="55" spans="1:14" x14ac:dyDescent="0.25">
      <c r="A55" s="91" t="s">
        <v>188</v>
      </c>
      <c r="B55" t="s">
        <v>244</v>
      </c>
      <c r="C55" t="s">
        <v>336</v>
      </c>
      <c r="D55">
        <v>58411.4375</v>
      </c>
      <c r="E55" s="92">
        <v>44231.774004629631</v>
      </c>
      <c r="F55" t="b">
        <v>1</v>
      </c>
      <c r="G55" s="91" t="s">
        <v>35</v>
      </c>
      <c r="H55" s="91" t="s">
        <v>190</v>
      </c>
      <c r="I55" s="91" t="s">
        <v>337</v>
      </c>
      <c r="J55">
        <v>0</v>
      </c>
      <c r="K55" s="91" t="s">
        <v>192</v>
      </c>
      <c r="L55" t="b">
        <v>0</v>
      </c>
      <c r="M55" t="b">
        <v>0</v>
      </c>
      <c r="N55" t="b">
        <v>0</v>
      </c>
    </row>
    <row r="56" spans="1:14" x14ac:dyDescent="0.25">
      <c r="A56" s="91" t="s">
        <v>188</v>
      </c>
      <c r="B56" t="s">
        <v>245</v>
      </c>
      <c r="C56" t="s">
        <v>336</v>
      </c>
      <c r="D56">
        <v>4.92</v>
      </c>
      <c r="E56" s="92">
        <v>44231.774004629631</v>
      </c>
      <c r="F56" t="b">
        <v>1</v>
      </c>
      <c r="G56" s="91" t="s">
        <v>9</v>
      </c>
      <c r="H56" s="91" t="s">
        <v>190</v>
      </c>
      <c r="I56" s="91" t="s">
        <v>337</v>
      </c>
      <c r="J56">
        <v>0</v>
      </c>
      <c r="K56" s="91" t="s">
        <v>192</v>
      </c>
      <c r="L56" t="b">
        <v>0</v>
      </c>
      <c r="M56" t="b">
        <v>0</v>
      </c>
      <c r="N56" t="b">
        <v>0</v>
      </c>
    </row>
    <row r="57" spans="1:14" x14ac:dyDescent="0.25">
      <c r="A57" s="91" t="s">
        <v>188</v>
      </c>
      <c r="B57" t="s">
        <v>317</v>
      </c>
      <c r="C57" t="s">
        <v>336</v>
      </c>
      <c r="E57" s="92">
        <v>44231.774004629631</v>
      </c>
      <c r="F57" t="b">
        <v>1</v>
      </c>
      <c r="G57" s="91" t="s">
        <v>155</v>
      </c>
      <c r="H57" s="91" t="s">
        <v>190</v>
      </c>
      <c r="I57" s="91" t="s">
        <v>337</v>
      </c>
      <c r="J57">
        <v>0</v>
      </c>
      <c r="K57" s="91" t="s">
        <v>192</v>
      </c>
      <c r="L57" t="b">
        <v>0</v>
      </c>
      <c r="M57" t="b">
        <v>0</v>
      </c>
      <c r="N57" t="b">
        <v>0</v>
      </c>
    </row>
    <row r="58" spans="1:14" x14ac:dyDescent="0.25">
      <c r="A58" s="91" t="s">
        <v>188</v>
      </c>
      <c r="B58" t="s">
        <v>318</v>
      </c>
      <c r="C58" t="s">
        <v>336</v>
      </c>
      <c r="D58">
        <v>5.52</v>
      </c>
      <c r="E58" s="92">
        <v>44231.774004629631</v>
      </c>
      <c r="F58" t="b">
        <v>1</v>
      </c>
      <c r="G58" s="91" t="s">
        <v>10</v>
      </c>
      <c r="H58" s="91" t="s">
        <v>190</v>
      </c>
      <c r="I58" s="91" t="s">
        <v>337</v>
      </c>
      <c r="J58">
        <v>0</v>
      </c>
      <c r="K58" s="91" t="s">
        <v>192</v>
      </c>
      <c r="L58" t="b">
        <v>0</v>
      </c>
      <c r="M58" t="b">
        <v>0</v>
      </c>
      <c r="N58" t="b">
        <v>0</v>
      </c>
    </row>
    <row r="59" spans="1:14" x14ac:dyDescent="0.25">
      <c r="A59" s="91" t="s">
        <v>188</v>
      </c>
      <c r="B59" t="s">
        <v>319</v>
      </c>
      <c r="C59" t="s">
        <v>336</v>
      </c>
      <c r="E59" s="92">
        <v>44231.774004629631</v>
      </c>
      <c r="F59" t="b">
        <v>1</v>
      </c>
      <c r="G59" s="91" t="s">
        <v>156</v>
      </c>
      <c r="H59" s="91" t="s">
        <v>190</v>
      </c>
      <c r="I59" s="91" t="s">
        <v>337</v>
      </c>
      <c r="J59">
        <v>0</v>
      </c>
      <c r="K59" s="91" t="s">
        <v>192</v>
      </c>
      <c r="L59" t="b">
        <v>0</v>
      </c>
      <c r="M59" t="b">
        <v>0</v>
      </c>
      <c r="N59" t="b">
        <v>0</v>
      </c>
    </row>
    <row r="60" spans="1:14" x14ac:dyDescent="0.25">
      <c r="A60" s="91" t="s">
        <v>188</v>
      </c>
      <c r="B60" t="s">
        <v>320</v>
      </c>
      <c r="C60" t="s">
        <v>336</v>
      </c>
      <c r="D60">
        <v>6.24</v>
      </c>
      <c r="E60" s="92">
        <v>44231.774004629631</v>
      </c>
      <c r="F60" t="b">
        <v>1</v>
      </c>
      <c r="G60" s="91" t="s">
        <v>11</v>
      </c>
      <c r="H60" s="91" t="s">
        <v>190</v>
      </c>
      <c r="I60" s="91" t="s">
        <v>337</v>
      </c>
      <c r="J60">
        <v>0</v>
      </c>
      <c r="K60" s="91" t="s">
        <v>192</v>
      </c>
      <c r="L60" t="b">
        <v>0</v>
      </c>
      <c r="M60" t="b">
        <v>0</v>
      </c>
      <c r="N60" t="b">
        <v>0</v>
      </c>
    </row>
    <row r="61" spans="1:14" x14ac:dyDescent="0.25">
      <c r="A61" s="91" t="s">
        <v>188</v>
      </c>
      <c r="B61" t="s">
        <v>321</v>
      </c>
      <c r="C61" t="s">
        <v>336</v>
      </c>
      <c r="E61" s="92">
        <v>44231.774004629631</v>
      </c>
      <c r="F61" t="b">
        <v>1</v>
      </c>
      <c r="G61" s="91" t="s">
        <v>154</v>
      </c>
      <c r="H61" s="91" t="s">
        <v>190</v>
      </c>
      <c r="I61" s="91" t="s">
        <v>337</v>
      </c>
      <c r="J61">
        <v>0</v>
      </c>
      <c r="K61" s="91" t="s">
        <v>192</v>
      </c>
      <c r="L61" t="b">
        <v>0</v>
      </c>
      <c r="M61" t="b">
        <v>0</v>
      </c>
      <c r="N61" t="b">
        <v>0</v>
      </c>
    </row>
    <row r="62" spans="1:14" x14ac:dyDescent="0.25">
      <c r="A62" s="91" t="s">
        <v>188</v>
      </c>
      <c r="B62" t="s">
        <v>322</v>
      </c>
      <c r="C62" t="s">
        <v>336</v>
      </c>
      <c r="D62">
        <v>6.36</v>
      </c>
      <c r="E62" s="92">
        <v>44231.774004629631</v>
      </c>
      <c r="F62" t="b">
        <v>1</v>
      </c>
      <c r="G62" s="91" t="s">
        <v>12</v>
      </c>
      <c r="H62" s="91" t="s">
        <v>190</v>
      </c>
      <c r="I62" s="91" t="s">
        <v>337</v>
      </c>
      <c r="J62">
        <v>0</v>
      </c>
      <c r="K62" s="91" t="s">
        <v>192</v>
      </c>
      <c r="L62" t="b">
        <v>0</v>
      </c>
      <c r="M62" t="b">
        <v>0</v>
      </c>
      <c r="N62" t="b">
        <v>0</v>
      </c>
    </row>
    <row r="63" spans="1:14" x14ac:dyDescent="0.25">
      <c r="A63" s="91" t="s">
        <v>188</v>
      </c>
      <c r="B63" t="s">
        <v>323</v>
      </c>
      <c r="C63" t="s">
        <v>336</v>
      </c>
      <c r="E63" s="92">
        <v>44231.774004629631</v>
      </c>
      <c r="F63" t="b">
        <v>1</v>
      </c>
      <c r="G63" s="91" t="s">
        <v>157</v>
      </c>
      <c r="H63" s="91" t="s">
        <v>190</v>
      </c>
      <c r="I63" s="91" t="s">
        <v>337</v>
      </c>
      <c r="J63">
        <v>0</v>
      </c>
      <c r="K63" s="91" t="s">
        <v>192</v>
      </c>
      <c r="L63" t="b">
        <v>0</v>
      </c>
      <c r="M63" t="b">
        <v>0</v>
      </c>
      <c r="N63" t="b">
        <v>0</v>
      </c>
    </row>
    <row r="64" spans="1:14" x14ac:dyDescent="0.25">
      <c r="A64" s="91" t="s">
        <v>188</v>
      </c>
      <c r="B64" t="s">
        <v>324</v>
      </c>
      <c r="C64" t="s">
        <v>325</v>
      </c>
      <c r="D64">
        <v>3457.317464008273</v>
      </c>
      <c r="E64" s="92">
        <v>44231.774004629631</v>
      </c>
      <c r="F64" t="b">
        <v>1</v>
      </c>
      <c r="G64" s="91" t="s">
        <v>303</v>
      </c>
      <c r="H64" s="91" t="s">
        <v>326</v>
      </c>
      <c r="I64" s="91" t="s">
        <v>191</v>
      </c>
      <c r="J64">
        <v>0</v>
      </c>
      <c r="K64" s="91" t="s">
        <v>192</v>
      </c>
      <c r="L64" t="b">
        <v>0</v>
      </c>
      <c r="M64" t="b">
        <v>0</v>
      </c>
      <c r="N64" t="b">
        <v>0</v>
      </c>
    </row>
    <row r="65" spans="1:14" x14ac:dyDescent="0.25">
      <c r="A65" s="91" t="s">
        <v>188</v>
      </c>
      <c r="B65" t="s">
        <v>327</v>
      </c>
      <c r="C65" t="s">
        <v>325</v>
      </c>
      <c r="D65">
        <v>2657.0280359917274</v>
      </c>
      <c r="E65" s="92">
        <v>44231.774004629631</v>
      </c>
      <c r="F65" t="b">
        <v>1</v>
      </c>
      <c r="G65" s="91" t="s">
        <v>304</v>
      </c>
      <c r="H65" s="91" t="s">
        <v>326</v>
      </c>
      <c r="I65" s="91" t="s">
        <v>191</v>
      </c>
      <c r="J65">
        <v>0</v>
      </c>
      <c r="K65" s="91" t="s">
        <v>192</v>
      </c>
      <c r="L65" t="b">
        <v>0</v>
      </c>
      <c r="M65" t="b">
        <v>0</v>
      </c>
      <c r="N65" t="b">
        <v>0</v>
      </c>
    </row>
    <row r="66" spans="1:14" x14ac:dyDescent="0.25">
      <c r="A66" s="91" t="s">
        <v>188</v>
      </c>
      <c r="B66" t="s">
        <v>328</v>
      </c>
      <c r="C66" t="s">
        <v>325</v>
      </c>
      <c r="D66">
        <v>30733.954310414865</v>
      </c>
      <c r="E66" s="92">
        <v>44231.774004629631</v>
      </c>
      <c r="F66" t="b">
        <v>1</v>
      </c>
      <c r="G66" s="91" t="s">
        <v>310</v>
      </c>
      <c r="H66" s="91" t="s">
        <v>326</v>
      </c>
      <c r="I66" s="91" t="s">
        <v>191</v>
      </c>
      <c r="J66">
        <v>0</v>
      </c>
      <c r="K66" s="91" t="s">
        <v>192</v>
      </c>
      <c r="L66" t="b">
        <v>0</v>
      </c>
      <c r="M66" t="b">
        <v>0</v>
      </c>
      <c r="N66" t="b">
        <v>0</v>
      </c>
    </row>
    <row r="67" spans="1:14" x14ac:dyDescent="0.25">
      <c r="A67" s="91" t="s">
        <v>188</v>
      </c>
      <c r="B67" t="s">
        <v>329</v>
      </c>
      <c r="C67" t="s">
        <v>325</v>
      </c>
      <c r="D67">
        <v>17940.689972974</v>
      </c>
      <c r="E67" s="92">
        <v>44231.774004629631</v>
      </c>
      <c r="F67" t="b">
        <v>1</v>
      </c>
      <c r="G67" s="91" t="s">
        <v>311</v>
      </c>
      <c r="H67" s="91" t="s">
        <v>326</v>
      </c>
      <c r="I67" s="91" t="s">
        <v>191</v>
      </c>
      <c r="J67">
        <v>0</v>
      </c>
      <c r="K67" s="91" t="s">
        <v>192</v>
      </c>
      <c r="L67" t="b">
        <v>0</v>
      </c>
      <c r="M67" t="b">
        <v>0</v>
      </c>
      <c r="N67" t="b">
        <v>0</v>
      </c>
    </row>
    <row r="68" spans="1:14" x14ac:dyDescent="0.25">
      <c r="A68" s="91" t="s">
        <v>188</v>
      </c>
      <c r="B68" t="s">
        <v>330</v>
      </c>
      <c r="C68" t="s">
        <v>325</v>
      </c>
      <c r="D68">
        <v>12793.264337440865</v>
      </c>
      <c r="E68" s="92">
        <v>44231.774004629631</v>
      </c>
      <c r="F68" t="b">
        <v>1</v>
      </c>
      <c r="G68" s="91" t="s">
        <v>312</v>
      </c>
      <c r="H68" s="91" t="s">
        <v>326</v>
      </c>
      <c r="I68" s="91" t="s">
        <v>191</v>
      </c>
      <c r="J68">
        <v>0</v>
      </c>
      <c r="K68" s="91" t="s">
        <v>192</v>
      </c>
      <c r="L68" t="b">
        <v>0</v>
      </c>
      <c r="M68" t="b">
        <v>0</v>
      </c>
      <c r="N68" t="b">
        <v>0</v>
      </c>
    </row>
    <row r="69" spans="1:14" x14ac:dyDescent="0.25">
      <c r="A69" s="91" t="s">
        <v>188</v>
      </c>
      <c r="B69" t="s">
        <v>331</v>
      </c>
      <c r="C69" t="s">
        <v>325</v>
      </c>
      <c r="D69">
        <v>4358.3605202462541</v>
      </c>
      <c r="E69" s="92">
        <v>44231.774004629631</v>
      </c>
      <c r="F69" t="b">
        <v>1</v>
      </c>
      <c r="G69" s="91" t="s">
        <v>313</v>
      </c>
      <c r="H69" s="91" t="s">
        <v>326</v>
      </c>
      <c r="I69" s="91" t="s">
        <v>191</v>
      </c>
      <c r="J69">
        <v>0</v>
      </c>
      <c r="K69" s="91" t="s">
        <v>192</v>
      </c>
      <c r="L69" t="b">
        <v>0</v>
      </c>
      <c r="M69" t="b">
        <v>0</v>
      </c>
      <c r="N69" t="b">
        <v>0</v>
      </c>
    </row>
    <row r="70" spans="1:14" x14ac:dyDescent="0.25">
      <c r="A70" s="91" t="s">
        <v>188</v>
      </c>
      <c r="B70" t="s">
        <v>332</v>
      </c>
      <c r="C70" t="s">
        <v>325</v>
      </c>
      <c r="D70">
        <v>14.47016933888805</v>
      </c>
      <c r="E70" s="92">
        <v>44231.774004629631</v>
      </c>
      <c r="F70" t="b">
        <v>1</v>
      </c>
      <c r="G70" s="91" t="s">
        <v>314</v>
      </c>
      <c r="H70" s="91" t="s">
        <v>326</v>
      </c>
      <c r="I70" s="91" t="s">
        <v>191</v>
      </c>
      <c r="J70">
        <v>0</v>
      </c>
      <c r="K70" s="91" t="s">
        <v>192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1:N69"/>
  <sheetViews>
    <sheetView showGridLines="0" zoomScaleNormal="100" workbookViewId="0">
      <selection activeCell="C27" sqref="C27"/>
    </sheetView>
  </sheetViews>
  <sheetFormatPr baseColWidth="10" defaultColWidth="11.42578125" defaultRowHeight="15" x14ac:dyDescent="0.25"/>
  <cols>
    <col min="1" max="1" width="11.42578125" style="2"/>
    <col min="2" max="2" width="23" style="2" customWidth="1"/>
    <col min="3" max="3" width="9.85546875" style="2" customWidth="1"/>
    <col min="4" max="4" width="3.28515625" style="2" customWidth="1"/>
    <col min="5" max="5" width="9" style="2" customWidth="1"/>
    <col min="6" max="6" width="14.42578125" style="98" customWidth="1"/>
    <col min="7" max="8" width="11.42578125" style="98"/>
    <col min="9" max="9" width="11.42578125" style="142"/>
    <col min="10" max="11" width="11.42578125" style="98"/>
    <col min="12" max="16384" width="11.42578125" style="2"/>
  </cols>
  <sheetData>
    <row r="1" spans="2:13" ht="14.1" customHeight="1" x14ac:dyDescent="0.25">
      <c r="C1" s="54">
        <v>44197</v>
      </c>
      <c r="E1" s="54">
        <v>44166</v>
      </c>
      <c r="I1" s="99"/>
      <c r="J1" s="100"/>
    </row>
    <row r="2" spans="2:13" ht="14.1" customHeight="1" x14ac:dyDescent="0.25">
      <c r="F2" s="101"/>
      <c r="G2" s="102" t="s">
        <v>246</v>
      </c>
      <c r="I2" s="99" t="s">
        <v>247</v>
      </c>
      <c r="J2" s="100"/>
    </row>
    <row r="3" spans="2:13" s="109" customFormat="1" ht="14.1" customHeight="1" x14ac:dyDescent="0.4">
      <c r="B3" s="103" t="s">
        <v>248</v>
      </c>
      <c r="C3" s="104"/>
      <c r="D3" s="104"/>
      <c r="E3" s="105"/>
      <c r="F3" s="106"/>
      <c r="G3" s="107"/>
      <c r="H3" s="107"/>
      <c r="I3" s="99"/>
      <c r="J3" s="108"/>
      <c r="K3" s="107"/>
    </row>
    <row r="4" spans="2:13" s="111" customFormat="1" ht="14.1" customHeight="1" x14ac:dyDescent="0.4">
      <c r="B4" s="110" t="s">
        <v>249</v>
      </c>
      <c r="C4" s="104"/>
      <c r="D4" s="104"/>
      <c r="E4" s="105"/>
      <c r="F4" s="106"/>
      <c r="G4" s="107"/>
      <c r="H4" s="98"/>
      <c r="I4" s="99"/>
      <c r="J4" s="100"/>
      <c r="K4" s="98"/>
    </row>
    <row r="5" spans="2:13" s="111" customFormat="1" ht="14.1" customHeight="1" x14ac:dyDescent="0.35">
      <c r="B5" s="112" t="s">
        <v>250</v>
      </c>
      <c r="C5" s="113"/>
      <c r="D5" s="113"/>
      <c r="E5" s="113"/>
      <c r="F5" s="114"/>
      <c r="G5" s="98"/>
      <c r="H5" s="98"/>
      <c r="I5" s="99"/>
      <c r="J5" s="100"/>
      <c r="K5" s="98"/>
    </row>
    <row r="6" spans="2:13" s="111" customFormat="1" ht="14.1" customHeight="1" x14ac:dyDescent="0.35">
      <c r="B6" s="112" t="s">
        <v>251</v>
      </c>
      <c r="C6" s="115">
        <f>VLOOKUP(Tablas!C$1,'Base gráficos 1'!$A$93:$BQ$493,7,FALSE)/100</f>
        <v>0.19320000000000001</v>
      </c>
      <c r="D6" s="116"/>
      <c r="E6" s="115">
        <f>VLOOKUP(Tablas!E$1,'Base gráficos 1'!$A$93:$BQ$493,7)/100</f>
        <v>0.19409999999999999</v>
      </c>
      <c r="F6" s="117">
        <f>C6-E6</f>
        <v>-8.9999999999998415E-4</v>
      </c>
      <c r="G6" s="118">
        <f>(C6-E6)*100</f>
        <v>-8.9999999999998415E-2</v>
      </c>
      <c r="H6" s="98"/>
      <c r="I6" s="99">
        <v>20</v>
      </c>
      <c r="J6" s="100">
        <v>50</v>
      </c>
      <c r="K6" s="116"/>
      <c r="L6" s="119" t="s">
        <v>252</v>
      </c>
      <c r="M6" s="119" t="s">
        <v>253</v>
      </c>
    </row>
    <row r="7" spans="2:13" s="111" customFormat="1" ht="14.1" customHeight="1" x14ac:dyDescent="0.35">
      <c r="B7" s="112" t="s">
        <v>254</v>
      </c>
      <c r="C7" s="115">
        <f>VLOOKUP(Tablas!C$1,'Base gráficos 1'!$A$93:$BQ$493,12,FALSE)/100</f>
        <v>5.5399999999999998E-2</v>
      </c>
      <c r="D7" s="116"/>
      <c r="E7" s="115">
        <f>VLOOKUP(Tablas!E$1,'Base gráficos 1'!$A$93:$BQ$493,12)/100</f>
        <v>4.9800000000000004E-2</v>
      </c>
      <c r="F7" s="117">
        <f>C7-E7</f>
        <v>5.5999999999999939E-3</v>
      </c>
      <c r="G7" s="118">
        <f>(C7-E7)*100</f>
        <v>0.55999999999999939</v>
      </c>
      <c r="H7" s="98"/>
      <c r="I7" s="99">
        <v>18</v>
      </c>
      <c r="J7" s="100">
        <v>30</v>
      </c>
      <c r="K7" s="98"/>
      <c r="L7" s="119" t="s">
        <v>255</v>
      </c>
      <c r="M7" s="119" t="s">
        <v>256</v>
      </c>
    </row>
    <row r="8" spans="2:13" s="111" customFormat="1" ht="14.1" customHeight="1" x14ac:dyDescent="0.35">
      <c r="B8" s="112" t="s">
        <v>257</v>
      </c>
      <c r="C8" s="115">
        <f>VLOOKUP(Tablas!C$1,'Base gráficos 1'!$A$93:$BQ$493,16,FALSE)/100</f>
        <v>1.8600000000000002E-2</v>
      </c>
      <c r="D8" s="116"/>
      <c r="E8" s="115">
        <f>VLOOKUP(Tablas!E$1,'Base gráficos 1'!$A$93:$BQ$493,16)/100</f>
        <v>2.4399999999999998E-2</v>
      </c>
      <c r="F8" s="117">
        <f>C8-E8</f>
        <v>-5.7999999999999961E-3</v>
      </c>
      <c r="G8" s="118">
        <f>(C8-E8)*100</f>
        <v>-0.57999999999999963</v>
      </c>
      <c r="H8" s="98"/>
      <c r="I8" s="99">
        <v>18</v>
      </c>
      <c r="J8" s="100">
        <v>30</v>
      </c>
      <c r="K8" s="98"/>
      <c r="L8" s="119" t="s">
        <v>255</v>
      </c>
      <c r="M8" s="119" t="s">
        <v>256</v>
      </c>
    </row>
    <row r="9" spans="2:13" ht="14.1" customHeight="1" x14ac:dyDescent="0.35">
      <c r="B9" s="112" t="s">
        <v>258</v>
      </c>
      <c r="C9" s="115">
        <f>VLOOKUP(Tablas!C$1,'Base gráficos 1'!$A$93:$BQ$493,19,FALSE)/100</f>
        <v>2.3399999999999997E-2</v>
      </c>
      <c r="D9" s="116"/>
      <c r="E9" s="115">
        <f>VLOOKUP(Tablas!E$1,'Base gráficos 1'!$A$93:$BQ$493,19)/100</f>
        <v>2.3900000000000001E-2</v>
      </c>
      <c r="F9" s="117">
        <f>C9-E9</f>
        <v>-5.0000000000000391E-4</v>
      </c>
      <c r="G9" s="118">
        <f>(C9-E9)*100</f>
        <v>-5.0000000000000391E-2</v>
      </c>
      <c r="I9" s="99">
        <v>10</v>
      </c>
      <c r="J9" s="100">
        <v>20</v>
      </c>
      <c r="L9" s="111"/>
    </row>
    <row r="10" spans="2:13" ht="3.75" customHeight="1" x14ac:dyDescent="0.25">
      <c r="C10" s="120"/>
      <c r="D10" s="120"/>
      <c r="E10" s="121"/>
      <c r="F10" s="122"/>
      <c r="I10" s="99"/>
      <c r="J10" s="100"/>
    </row>
    <row r="11" spans="2:13" ht="3" customHeight="1" x14ac:dyDescent="0.25">
      <c r="C11" s="120"/>
      <c r="D11" s="120"/>
      <c r="E11" s="123"/>
      <c r="F11" s="114"/>
      <c r="I11" s="99"/>
      <c r="J11" s="100"/>
    </row>
    <row r="12" spans="2:13" s="109" customFormat="1" ht="14.1" customHeight="1" x14ac:dyDescent="0.3">
      <c r="B12" s="2"/>
      <c r="C12" s="120"/>
      <c r="D12" s="120"/>
      <c r="E12" s="124"/>
      <c r="F12" s="101"/>
      <c r="G12" s="102" t="s">
        <v>246</v>
      </c>
      <c r="H12" s="107"/>
      <c r="I12" s="99"/>
      <c r="J12" s="108"/>
      <c r="K12" s="107"/>
    </row>
    <row r="13" spans="2:13" s="109" customFormat="1" ht="15" customHeight="1" x14ac:dyDescent="0.4">
      <c r="B13" s="103" t="s">
        <v>302</v>
      </c>
      <c r="C13" s="125"/>
      <c r="D13" s="125"/>
      <c r="E13" s="126"/>
      <c r="F13" s="106"/>
      <c r="G13" s="107"/>
      <c r="H13" s="107"/>
      <c r="I13" s="99"/>
      <c r="J13" s="108"/>
      <c r="K13" s="107"/>
    </row>
    <row r="14" spans="2:13" s="111" customFormat="1" ht="15" customHeight="1" x14ac:dyDescent="0.4">
      <c r="B14" s="110" t="s">
        <v>259</v>
      </c>
      <c r="C14" s="127"/>
      <c r="D14" s="127"/>
      <c r="E14" s="126"/>
      <c r="F14" s="106"/>
      <c r="G14" s="107"/>
      <c r="H14" s="98"/>
      <c r="I14" s="99"/>
      <c r="J14" s="100"/>
      <c r="K14" s="98"/>
    </row>
    <row r="15" spans="2:13" s="111" customFormat="1" ht="14.1" customHeight="1" x14ac:dyDescent="0.35">
      <c r="B15" s="112" t="s">
        <v>260</v>
      </c>
      <c r="C15" s="128"/>
      <c r="D15" s="128"/>
      <c r="E15" s="123"/>
      <c r="F15" s="114"/>
      <c r="G15" s="98"/>
      <c r="H15" s="129"/>
      <c r="I15" s="99"/>
      <c r="J15" s="100"/>
      <c r="K15" s="98"/>
    </row>
    <row r="16" spans="2:13" s="111" customFormat="1" ht="14.1" customHeight="1" x14ac:dyDescent="0.35">
      <c r="B16" s="112" t="s">
        <v>261</v>
      </c>
      <c r="C16" s="115">
        <f>VLOOKUP(Tablas!C$1,'Base gráficos 1'!$A$93:$BQ$493,3,FALSE)/100</f>
        <v>-0.14421974883828881</v>
      </c>
      <c r="D16" s="116"/>
      <c r="E16" s="115">
        <f>VLOOKUP(Tablas!E$1,'Base gráficos 1'!$A$93:$BQ$493,3)/100</f>
        <v>-0.14115422731733801</v>
      </c>
      <c r="F16" s="130">
        <f>-(C16/E16*100-100)</f>
        <v>-2.1717532511860185</v>
      </c>
      <c r="G16" s="118">
        <f>(C16-E16)*100</f>
        <v>-0.3065521520950798</v>
      </c>
      <c r="H16" s="98"/>
      <c r="I16" s="99">
        <v>13</v>
      </c>
      <c r="J16" s="100">
        <v>70</v>
      </c>
      <c r="K16" s="98"/>
      <c r="L16" s="119" t="s">
        <v>256</v>
      </c>
    </row>
    <row r="17" spans="2:11" s="111" customFormat="1" ht="14.1" customHeight="1" x14ac:dyDescent="0.35">
      <c r="B17" s="112" t="s">
        <v>262</v>
      </c>
      <c r="C17" s="115">
        <f>VLOOKUP(Tablas!C$1,'Base gráficos 1'!$A$93:$BQ$493,2,FALSE)/100</f>
        <v>6.2012104409346736E-2</v>
      </c>
      <c r="D17" s="116"/>
      <c r="E17" s="115">
        <f>VLOOKUP(Tablas!E$1,'Base gráficos 1'!$A$93:$BQ$493,2)/100</f>
        <v>5.8455990732806384E-2</v>
      </c>
      <c r="F17" s="130">
        <f>C17/E17*100-100</f>
        <v>6.0834033124078246</v>
      </c>
      <c r="G17" s="118">
        <f>(C17-E17)*100</f>
        <v>0.35561136765403512</v>
      </c>
      <c r="H17" s="98"/>
      <c r="I17" s="99">
        <v>20</v>
      </c>
      <c r="J17" s="100">
        <v>70</v>
      </c>
      <c r="K17" s="98"/>
    </row>
    <row r="18" spans="2:11" s="111" customFormat="1" ht="14.1" customHeight="1" x14ac:dyDescent="0.35">
      <c r="B18" s="112" t="s">
        <v>263</v>
      </c>
      <c r="C18" s="115">
        <f>VLOOKUP(Tablas!C$1,'Base gráficos 1'!$A$93:$BQ$493,5,FALSE)/100</f>
        <v>-0.28187870292823985</v>
      </c>
      <c r="D18" s="116"/>
      <c r="E18" s="115">
        <f>VLOOKUP(Tablas!E$1,'Base gráficos 1'!$A$93:$BQ$493,5)/100</f>
        <v>-0.27758989563190439</v>
      </c>
      <c r="F18" s="130">
        <f>-(C18/E18*100-100)</f>
        <v>-1.5450156377531101</v>
      </c>
      <c r="G18" s="118">
        <f>(C18-E18)*100</f>
        <v>-0.42888072963354618</v>
      </c>
      <c r="H18" s="98"/>
      <c r="I18" s="99">
        <v>20</v>
      </c>
      <c r="J18" s="100">
        <v>70</v>
      </c>
      <c r="K18" s="98"/>
    </row>
    <row r="19" spans="2:11" s="111" customFormat="1" ht="14.1" customHeight="1" x14ac:dyDescent="0.35">
      <c r="B19" s="112" t="s">
        <v>264</v>
      </c>
      <c r="C19" s="115">
        <f>VLOOKUP(Tablas!C$1,'Base gráficos 1'!$A$93:$BQ$493,4,FALSE)/100</f>
        <v>7.9421745075620998E-2</v>
      </c>
      <c r="D19" s="116"/>
      <c r="E19" s="115">
        <f>VLOOKUP(Tablas!E$1,'Base gráficos 1'!$A$93:$BQ$493,4)/100</f>
        <v>8.1379718666287029E-2</v>
      </c>
      <c r="F19" s="130">
        <f>C19/E19*100-100</f>
        <v>-2.405972425015463</v>
      </c>
      <c r="G19" s="118">
        <f>(C19-E19)*100</f>
        <v>-0.19579735906660317</v>
      </c>
      <c r="H19" s="98"/>
      <c r="I19" s="99">
        <v>20</v>
      </c>
      <c r="J19" s="100">
        <v>70</v>
      </c>
      <c r="K19" s="98"/>
    </row>
    <row r="20" spans="2:11" ht="14.1" customHeight="1" x14ac:dyDescent="0.35">
      <c r="B20" s="112" t="s">
        <v>265</v>
      </c>
      <c r="C20" s="115">
        <f>VLOOKUP(Tablas!C$1,'Base gráficos 1'!$A$93:$BQ$493,6,FALSE)/100</f>
        <v>2.4637706436529783E-2</v>
      </c>
      <c r="D20" s="116"/>
      <c r="E20" s="115">
        <f>VLOOKUP(Tablas!E$1,'Base gráficos 1'!$A$93:$BQ$493,6)/100</f>
        <v>2.4171356522073778E-2</v>
      </c>
      <c r="F20" s="131">
        <f>C20/E20*100-100</f>
        <v>1.9293493686633809</v>
      </c>
      <c r="G20" s="118">
        <f>(C20-E20)*100</f>
        <v>4.6634991445600529E-2</v>
      </c>
      <c r="H20" s="132"/>
      <c r="I20" s="99">
        <v>20</v>
      </c>
      <c r="J20" s="100">
        <v>70</v>
      </c>
    </row>
    <row r="21" spans="2:11" ht="14.1" customHeight="1" x14ac:dyDescent="0.25">
      <c r="C21" s="120"/>
      <c r="D21" s="120"/>
      <c r="E21" s="123"/>
      <c r="F21" s="114"/>
      <c r="I21" s="99"/>
      <c r="J21" s="100"/>
    </row>
    <row r="22" spans="2:11" ht="14.1" customHeight="1" x14ac:dyDescent="0.25">
      <c r="C22" s="120"/>
      <c r="D22" s="120"/>
      <c r="E22" s="123"/>
      <c r="F22" s="114"/>
      <c r="I22" s="99"/>
      <c r="J22" s="100"/>
    </row>
    <row r="23" spans="2:11" s="109" customFormat="1" ht="14.1" customHeight="1" x14ac:dyDescent="0.3">
      <c r="B23" s="2"/>
      <c r="C23" s="120"/>
      <c r="D23" s="120"/>
      <c r="E23" s="124"/>
      <c r="F23" s="101"/>
      <c r="G23" s="102" t="s">
        <v>246</v>
      </c>
      <c r="H23" s="107"/>
      <c r="I23" s="99"/>
      <c r="J23" s="108"/>
      <c r="K23" s="107"/>
    </row>
    <row r="24" spans="2:11" s="111" customFormat="1" ht="14.1" customHeight="1" x14ac:dyDescent="0.4">
      <c r="B24" s="103" t="s">
        <v>266</v>
      </c>
      <c r="C24" s="125"/>
      <c r="D24" s="125"/>
      <c r="E24" s="126"/>
      <c r="F24" s="106"/>
      <c r="G24" s="107"/>
      <c r="H24" s="98"/>
      <c r="I24" s="99"/>
      <c r="J24" s="100"/>
      <c r="K24" s="98"/>
    </row>
    <row r="25" spans="2:11" s="111" customFormat="1" ht="14.1" customHeight="1" x14ac:dyDescent="0.35">
      <c r="B25" s="112" t="s">
        <v>260</v>
      </c>
      <c r="C25" s="128"/>
      <c r="D25" s="128"/>
      <c r="E25" s="123"/>
      <c r="F25" s="114"/>
      <c r="G25" s="98"/>
      <c r="H25" s="98"/>
      <c r="I25" s="99"/>
      <c r="J25" s="100"/>
      <c r="K25" s="98"/>
    </row>
    <row r="26" spans="2:11" s="111" customFormat="1" ht="14.1" customHeight="1" x14ac:dyDescent="0.35">
      <c r="B26" s="112" t="s">
        <v>267</v>
      </c>
      <c r="C26" s="115">
        <f>VLOOKUP(Tablas!C$1,'Base gráficos 1'!$A$93:$BQ$493,25,FALSE)/100</f>
        <v>0.63632600033881714</v>
      </c>
      <c r="D26" s="116"/>
      <c r="E26" s="115">
        <f>VLOOKUP(Tablas!E$1,'Base gráficos 1'!$A$93:$BQ$493,25)/100</f>
        <v>0.53915955657430714</v>
      </c>
      <c r="F26" s="130">
        <f>C26/E26*100-100</f>
        <v>18.021834646107877</v>
      </c>
      <c r="G26" s="118">
        <f>(C26-E26)*100</f>
        <v>9.7166443764510007</v>
      </c>
      <c r="H26" s="118"/>
      <c r="I26" s="99">
        <v>25</v>
      </c>
      <c r="J26" s="100">
        <v>100</v>
      </c>
      <c r="K26" s="98"/>
    </row>
    <row r="27" spans="2:11" s="111" customFormat="1" ht="14.1" customHeight="1" x14ac:dyDescent="0.35">
      <c r="B27" s="112" t="s">
        <v>268</v>
      </c>
      <c r="C27" s="115">
        <f>VLOOKUP(Tablas!C$1,'Base gráficos 1'!$A$93:$BQ$493,40,FALSE)/100</f>
        <v>8.1464811550555113E-2</v>
      </c>
      <c r="D27" s="116"/>
      <c r="E27" s="115">
        <f>VLOOKUP(Tablas!E$1,'Base gráficos 1'!$A$93:$BQ$493,40)/100</f>
        <v>4.938872952831886E-2</v>
      </c>
      <c r="F27" s="130">
        <f>C27/E27*100-100</f>
        <v>64.946157409949649</v>
      </c>
      <c r="G27" s="118">
        <f>(C27-E27)*100</f>
        <v>3.2076082022236254</v>
      </c>
      <c r="H27" s="118"/>
      <c r="I27" s="99">
        <v>25</v>
      </c>
      <c r="J27" s="100">
        <v>100</v>
      </c>
      <c r="K27" s="98"/>
    </row>
    <row r="28" spans="2:11" ht="14.1" customHeight="1" x14ac:dyDescent="0.35">
      <c r="B28" s="112" t="s">
        <v>269</v>
      </c>
      <c r="C28" s="115">
        <f>VLOOKUP(Tablas!C$1,'Base gráficos 1'!$A$93:$BQ$493,54,FALSE)/100</f>
        <v>6.9220424987851595E-2</v>
      </c>
      <c r="D28" s="116"/>
      <c r="E28" s="115">
        <f>VLOOKUP(Tablas!E$1,'Base gráficos 1'!$A$93:$BQ$493,54)/100</f>
        <v>6.7429288452894698E-2</v>
      </c>
      <c r="F28" s="130">
        <f>C28/E28*100-100</f>
        <v>2.6563183092287233</v>
      </c>
      <c r="G28" s="118">
        <f>(C28-E28)*100</f>
        <v>0.1791136534956897</v>
      </c>
      <c r="H28" s="118"/>
      <c r="I28" s="99">
        <v>25</v>
      </c>
      <c r="J28" s="100">
        <v>100</v>
      </c>
    </row>
    <row r="29" spans="2:11" ht="13.5" customHeight="1" x14ac:dyDescent="0.25">
      <c r="I29" s="99"/>
      <c r="J29" s="100"/>
    </row>
    <row r="30" spans="2:11" ht="13.5" customHeight="1" x14ac:dyDescent="0.4">
      <c r="B30" s="104" t="s">
        <v>270</v>
      </c>
      <c r="C30" s="104"/>
      <c r="D30" s="104"/>
      <c r="E30" s="105"/>
      <c r="F30" s="106"/>
      <c r="G30" s="107"/>
      <c r="I30" s="99"/>
      <c r="J30" s="100"/>
    </row>
    <row r="31" spans="2:11" ht="13.5" customHeight="1" x14ac:dyDescent="0.4">
      <c r="B31" s="105" t="s">
        <v>271</v>
      </c>
      <c r="C31" s="104"/>
      <c r="D31" s="104"/>
      <c r="E31" s="105"/>
      <c r="F31" s="106"/>
      <c r="G31" s="107"/>
      <c r="I31" s="99"/>
      <c r="J31" s="100"/>
    </row>
    <row r="32" spans="2:11" ht="13.5" customHeight="1" x14ac:dyDescent="0.35">
      <c r="B32" s="112" t="s">
        <v>250</v>
      </c>
      <c r="C32" s="113"/>
      <c r="D32" s="113"/>
      <c r="E32" s="113"/>
      <c r="F32" s="114"/>
      <c r="I32" s="99"/>
      <c r="J32" s="100"/>
    </row>
    <row r="33" spans="2:10" ht="13.5" customHeight="1" x14ac:dyDescent="0.35">
      <c r="B33" s="112" t="s">
        <v>272</v>
      </c>
      <c r="C33" s="115">
        <f>VLOOKUP(Tablas!C$1,'Base gráficos 1'!$A$93:$BU$493,8,FALSE)/100</f>
        <v>9.6269345767290654E-2</v>
      </c>
      <c r="D33" s="116"/>
      <c r="E33" s="115">
        <f>VLOOKUP(Tablas!E$1,'Base gráficos 1'!$A$93:$BU$493,8)/100</f>
        <v>9.6465201165305534E-2</v>
      </c>
      <c r="F33" s="117">
        <f t="shared" ref="F33:F39" si="0">C33-E33</f>
        <v>-1.9585539801487972E-4</v>
      </c>
      <c r="G33" s="118">
        <f t="shared" ref="G33:G39" si="1">(C33-E33)*100</f>
        <v>-1.9585539801487972E-2</v>
      </c>
      <c r="I33" s="99">
        <v>30</v>
      </c>
      <c r="J33" s="100">
        <v>60</v>
      </c>
    </row>
    <row r="34" spans="2:10" ht="13.5" customHeight="1" x14ac:dyDescent="0.35">
      <c r="B34" s="112" t="s">
        <v>273</v>
      </c>
      <c r="C34" s="115">
        <f>VLOOKUP(Tablas!C$1,'Base gráficos 1'!$A$93:$BU$493,9,FALSE)/100</f>
        <v>1.0759921855325514E-2</v>
      </c>
      <c r="D34" s="116"/>
      <c r="E34" s="115">
        <f>VLOOKUP(Tablas!E$1,'Base gráficos 1'!$A$93:$BU$493,9)/100</f>
        <v>9.9764673775849227E-3</v>
      </c>
      <c r="F34" s="117">
        <f t="shared" si="0"/>
        <v>7.8345447774059128E-4</v>
      </c>
      <c r="G34" s="118">
        <f t="shared" si="1"/>
        <v>7.8345447774059135E-2</v>
      </c>
      <c r="I34" s="99">
        <v>30</v>
      </c>
      <c r="J34" s="100">
        <v>60</v>
      </c>
    </row>
    <row r="35" spans="2:10" ht="13.5" customHeight="1" x14ac:dyDescent="0.35">
      <c r="B35" s="112" t="s">
        <v>274</v>
      </c>
      <c r="C35" s="115">
        <f>VLOOKUP(Tablas!C$1,'Base gráficos 1'!$A$93:$BU$493,10,FALSE)/100</f>
        <v>2.2865253855722346E-2</v>
      </c>
      <c r="D35" s="116"/>
      <c r="E35" s="115">
        <f>VLOOKUP(Tablas!E$1,'Base gráficos 1'!$A$93:$BU$493,10)/100</f>
        <v>1.9918346739805276E-2</v>
      </c>
      <c r="F35" s="117">
        <f t="shared" si="0"/>
        <v>2.9469071159170697E-3</v>
      </c>
      <c r="G35" s="118">
        <f t="shared" si="1"/>
        <v>0.29469071159170696</v>
      </c>
      <c r="I35" s="99">
        <v>30</v>
      </c>
      <c r="J35" s="100">
        <v>60</v>
      </c>
    </row>
    <row r="36" spans="2:10" ht="13.5" customHeight="1" x14ac:dyDescent="0.35">
      <c r="B36" s="112" t="s">
        <v>275</v>
      </c>
      <c r="C36" s="143">
        <f>VLOOKUP(Tablas!C$1,'Base gráficos 1'!$A$93:$BU$493,12,FALSE)/100</f>
        <v>5.5399999999999998E-2</v>
      </c>
      <c r="D36" s="116"/>
      <c r="E36" s="143">
        <f>VLOOKUP(Tablas!E$1,'Base gráficos 1'!$A$93:$BU$493,12)/100</f>
        <v>4.9800000000000004E-2</v>
      </c>
      <c r="F36" s="117">
        <f t="shared" si="0"/>
        <v>5.5999999999999939E-3</v>
      </c>
      <c r="G36" s="118">
        <f t="shared" si="1"/>
        <v>0.55999999999999939</v>
      </c>
      <c r="I36" s="99">
        <v>10</v>
      </c>
      <c r="J36" s="100">
        <v>20</v>
      </c>
    </row>
    <row r="37" spans="2:10" ht="13.5" customHeight="1" x14ac:dyDescent="0.35">
      <c r="B37" s="112" t="s">
        <v>276</v>
      </c>
      <c r="C37" s="143">
        <f>VLOOKUP(Tablas!C$1,'Base gráficos 1'!$A$93:$BU$493,13,FALSE)/100</f>
        <v>4.9768359766076686E-3</v>
      </c>
      <c r="D37" s="116"/>
      <c r="E37" s="143">
        <f>VLOOKUP(Tablas!E$1,'Base gráficos 1'!$A$93:$BU$493,13)/100</f>
        <v>4.1554041172169763E-3</v>
      </c>
      <c r="F37" s="117">
        <f t="shared" si="0"/>
        <v>8.2143185939069236E-4</v>
      </c>
      <c r="G37" s="118">
        <f t="shared" si="1"/>
        <v>8.2143185939069233E-2</v>
      </c>
      <c r="I37" s="99">
        <v>10</v>
      </c>
      <c r="J37" s="100">
        <v>20</v>
      </c>
    </row>
    <row r="38" spans="2:10" ht="13.5" customHeight="1" x14ac:dyDescent="0.35">
      <c r="B38" s="112" t="s">
        <v>277</v>
      </c>
      <c r="C38" s="115">
        <f>VLOOKUP(Tablas!C$1,'Base gráficos 1'!$A$93:$BU$493,15,FALSE)/100</f>
        <v>3.8502024478456673E-2</v>
      </c>
      <c r="D38" s="116"/>
      <c r="E38" s="115">
        <f>VLOOKUP(Tablas!E$1,'Base gráficos 1'!$A$93:$BU$493,15)/100</f>
        <v>3.4347027157096532E-2</v>
      </c>
      <c r="F38" s="117">
        <f t="shared" si="0"/>
        <v>4.1549973213601404E-3</v>
      </c>
      <c r="G38" s="118">
        <f t="shared" si="1"/>
        <v>0.41549973213601404</v>
      </c>
      <c r="I38" s="99">
        <v>10</v>
      </c>
      <c r="J38" s="100">
        <v>20</v>
      </c>
    </row>
    <row r="39" spans="2:10" ht="13.5" customHeight="1" x14ac:dyDescent="0.35">
      <c r="B39" s="112" t="s">
        <v>278</v>
      </c>
      <c r="C39" s="115">
        <f>VLOOKUP(Tablas!C$1,'Base gráficos 1'!$A$93:$BU$493,16,FALSE)/100</f>
        <v>1.8600000000000002E-2</v>
      </c>
      <c r="D39" s="116"/>
      <c r="E39" s="115">
        <f>VLOOKUP(Tablas!E$1,'Base gráficos 1'!$A$93:$BU$493,16)/100</f>
        <v>2.4399999999999998E-2</v>
      </c>
      <c r="F39" s="117">
        <f t="shared" si="0"/>
        <v>-5.7999999999999961E-3</v>
      </c>
      <c r="G39" s="118">
        <f t="shared" si="1"/>
        <v>-0.57999999999999963</v>
      </c>
      <c r="I39" s="99">
        <v>10</v>
      </c>
      <c r="J39" s="100">
        <v>20</v>
      </c>
    </row>
    <row r="40" spans="2:10" ht="13.5" customHeight="1" x14ac:dyDescent="0.25">
      <c r="I40" s="99"/>
      <c r="J40" s="100"/>
    </row>
    <row r="41" spans="2:10" ht="13.5" customHeight="1" x14ac:dyDescent="0.4">
      <c r="B41" s="104" t="s">
        <v>279</v>
      </c>
      <c r="C41" s="104"/>
      <c r="D41" s="104"/>
      <c r="E41" s="105"/>
      <c r="F41" s="106"/>
      <c r="G41" s="107"/>
      <c r="I41" s="99"/>
      <c r="J41" s="100"/>
    </row>
    <row r="42" spans="2:10" ht="13.5" customHeight="1" x14ac:dyDescent="0.35">
      <c r="B42" s="112" t="s">
        <v>250</v>
      </c>
      <c r="C42" s="113"/>
      <c r="D42" s="113"/>
      <c r="E42" s="113"/>
      <c r="F42" s="114"/>
      <c r="I42" s="99"/>
      <c r="J42" s="100"/>
    </row>
    <row r="43" spans="2:10" ht="13.5" customHeight="1" x14ac:dyDescent="0.35">
      <c r="B43" s="112" t="s">
        <v>280</v>
      </c>
      <c r="C43" s="133">
        <f>VLOOKUP(Tablas!C$1,'Base original'!$A$89:$BS$496,42,FALSE)/100</f>
        <v>406.59704761877401</v>
      </c>
      <c r="D43" s="134"/>
      <c r="E43" s="133">
        <f>VLOOKUP(Tablas!E$1,'Base original'!$A$89:$BS$496,42)/100</f>
        <v>405.1773590141845</v>
      </c>
      <c r="F43" s="117">
        <f>C43-E43</f>
        <v>1.4196886045895099</v>
      </c>
      <c r="G43" s="118">
        <f t="shared" ref="G43:G50" si="2">(C43-E43)*100</f>
        <v>141.96886045895099</v>
      </c>
      <c r="I43" s="99">
        <v>10</v>
      </c>
      <c r="J43" s="100">
        <v>20</v>
      </c>
    </row>
    <row r="44" spans="2:10" ht="13.5" customHeight="1" x14ac:dyDescent="0.35">
      <c r="B44" s="112" t="s">
        <v>281</v>
      </c>
      <c r="C44" s="133">
        <f>VLOOKUP(Tablas!C$1,'Base original'!$A$89:$BS$496,44,FALSE)/100</f>
        <v>262.0834674569</v>
      </c>
      <c r="D44" s="134"/>
      <c r="E44" s="133">
        <f>VLOOKUP(Tablas!E$1,'Base original'!$A$89:$BS$496,44)/100</f>
        <v>265.40306826842971</v>
      </c>
      <c r="F44" s="117">
        <f t="shared" ref="F44:F50" si="3">C44-E44</f>
        <v>-3.3196008115297104</v>
      </c>
      <c r="G44" s="118">
        <f t="shared" si="2"/>
        <v>-331.96008115297104</v>
      </c>
      <c r="I44" s="99">
        <v>10</v>
      </c>
      <c r="J44" s="100">
        <v>20</v>
      </c>
    </row>
    <row r="45" spans="2:10" ht="13.5" customHeight="1" x14ac:dyDescent="0.35">
      <c r="B45" s="112" t="s">
        <v>282</v>
      </c>
      <c r="C45" s="133">
        <f>VLOOKUP(Tablas!C$1,'Base original'!$A$89:$BS$496,46,FALSE)/100</f>
        <v>84.992923594539988</v>
      </c>
      <c r="D45" s="134"/>
      <c r="E45" s="133">
        <f>VLOOKUP(Tablas!E$1,'Base original'!$A$89:$BS$496,46)/100</f>
        <v>79.160375282031012</v>
      </c>
      <c r="F45" s="117">
        <f t="shared" si="3"/>
        <v>5.8325483125089761</v>
      </c>
      <c r="G45" s="118">
        <f t="shared" si="2"/>
        <v>583.25483125089761</v>
      </c>
      <c r="I45" s="99">
        <v>10</v>
      </c>
      <c r="J45" s="100">
        <v>20</v>
      </c>
    </row>
    <row r="46" spans="2:10" ht="13.5" customHeight="1" x14ac:dyDescent="0.35">
      <c r="B46" s="112" t="s">
        <v>283</v>
      </c>
      <c r="C46" s="133">
        <f>VLOOKUP(Tablas!C$1,'Base original'!$A$89:$BS$496,48,FALSE)/100</f>
        <v>11.696702837936719</v>
      </c>
      <c r="D46" s="134"/>
      <c r="E46" s="133">
        <f>VLOOKUP(Tablas!E$1,'Base original'!$A$89:$BS$496,48)/100</f>
        <v>11.623115</v>
      </c>
      <c r="F46" s="117">
        <f t="shared" si="3"/>
        <v>7.3587837936718969E-2</v>
      </c>
      <c r="G46" s="118">
        <f t="shared" si="2"/>
        <v>7.3587837936718969</v>
      </c>
      <c r="I46" s="99">
        <v>10</v>
      </c>
      <c r="J46" s="100">
        <v>20</v>
      </c>
    </row>
    <row r="47" spans="2:10" ht="13.5" customHeight="1" x14ac:dyDescent="0.35">
      <c r="B47" s="112" t="s">
        <v>284</v>
      </c>
      <c r="C47" s="133">
        <f>VLOOKUP(Tablas!C$1,'Base original'!$A$89:$BS$496,43,FALSE)/100</f>
        <v>85.662991209767199</v>
      </c>
      <c r="D47" s="134"/>
      <c r="E47" s="133">
        <f>VLOOKUP(Tablas!E$1,'Base original'!$A$89:$BS$496,43)/100</f>
        <v>95.166384450837072</v>
      </c>
      <c r="F47" s="117">
        <f t="shared" si="3"/>
        <v>-9.5033932410698725</v>
      </c>
      <c r="G47" s="118">
        <f t="shared" si="2"/>
        <v>-950.33932410698731</v>
      </c>
      <c r="I47" s="99">
        <v>10</v>
      </c>
      <c r="J47" s="100">
        <v>20</v>
      </c>
    </row>
    <row r="48" spans="2:10" ht="13.5" customHeight="1" x14ac:dyDescent="0.35">
      <c r="B48" s="112" t="s">
        <v>285</v>
      </c>
      <c r="C48" s="133">
        <f>VLOOKUP(Tablas!C$1,'Base original'!$A$89:$BS$496,45,FALSE)/100</f>
        <v>9.2898704846170013</v>
      </c>
      <c r="D48" s="134"/>
      <c r="E48" s="133">
        <f>VLOOKUP(Tablas!E$1,'Base original'!$A$89:$BS$496,45)/100</f>
        <v>9.1847185161180001</v>
      </c>
      <c r="F48" s="117">
        <f t="shared" si="3"/>
        <v>0.10515196849900121</v>
      </c>
      <c r="G48" s="118">
        <f t="shared" si="2"/>
        <v>10.515196849900121</v>
      </c>
      <c r="I48" s="99">
        <v>10</v>
      </c>
      <c r="J48" s="100">
        <v>20</v>
      </c>
    </row>
    <row r="49" spans="2:14" ht="13.5" customHeight="1" x14ac:dyDescent="0.35">
      <c r="B49" s="112" t="s">
        <v>286</v>
      </c>
      <c r="C49" s="133">
        <f>VLOOKUP(Tablas!C$1,'Base original'!$A$89:$BS$496,47,FALSE)/100</f>
        <v>242.79474938878238</v>
      </c>
      <c r="D49" s="134"/>
      <c r="E49" s="133">
        <f>VLOOKUP(Tablas!E$1,'Base original'!$A$89:$BS$496,47)/100</f>
        <v>235.82848318425351</v>
      </c>
      <c r="F49" s="117">
        <f t="shared" si="3"/>
        <v>6.9662662045288641</v>
      </c>
      <c r="G49" s="118">
        <f t="shared" si="2"/>
        <v>696.62662045288641</v>
      </c>
      <c r="I49" s="99">
        <v>30</v>
      </c>
      <c r="J49" s="100">
        <v>60</v>
      </c>
    </row>
    <row r="50" spans="2:14" ht="16.5" x14ac:dyDescent="0.35">
      <c r="B50" s="112" t="s">
        <v>287</v>
      </c>
      <c r="C50" s="133">
        <f>VLOOKUP(Tablas!C$1,'Base original'!$A$89:$BS$496,49,FALSE)/100</f>
        <v>158.35054889980051</v>
      </c>
      <c r="D50" s="134"/>
      <c r="E50" s="133">
        <f>VLOOKUP(Tablas!E$1,'Base original'!$A$89:$BS$496,49)/100</f>
        <v>161.67385513545386</v>
      </c>
      <c r="F50" s="117">
        <f t="shared" si="3"/>
        <v>-3.323306235653348</v>
      </c>
      <c r="G50" s="118">
        <f t="shared" si="2"/>
        <v>-332.3306235653348</v>
      </c>
      <c r="I50" s="99">
        <v>24</v>
      </c>
      <c r="J50" s="100">
        <v>70</v>
      </c>
    </row>
    <row r="51" spans="2:14" x14ac:dyDescent="0.25">
      <c r="C51" s="135"/>
      <c r="D51" s="135"/>
      <c r="E51" s="135"/>
      <c r="I51" s="99"/>
      <c r="J51" s="100"/>
    </row>
    <row r="52" spans="2:14" ht="16.5" x14ac:dyDescent="0.35">
      <c r="B52" s="112" t="s">
        <v>288</v>
      </c>
      <c r="C52" s="133">
        <f>(VLOOKUP(Tablas!C$1,'Base original'!$A$89:$BS$496,43,FALSE)/100)-VLOOKUP(Tablas!C$1,'Base original'!$A$89:$BS$496,42,FALSE)/100</f>
        <v>-320.93405640900681</v>
      </c>
      <c r="D52" s="134"/>
      <c r="E52" s="133">
        <f>(VLOOKUP(Tablas!E$1,'Base original'!$A$89:$BS$496,43)/100)-VLOOKUP(Tablas!E$1,'Base original'!$A$89:$BS$496,42)/100</f>
        <v>-310.01097456334742</v>
      </c>
      <c r="F52" s="117">
        <f>C52-E52</f>
        <v>-10.923081845659397</v>
      </c>
      <c r="G52" s="118">
        <f>(C52-E52)*100</f>
        <v>-1092.3081845659397</v>
      </c>
      <c r="I52" s="99">
        <v>10</v>
      </c>
      <c r="J52" s="100">
        <v>20</v>
      </c>
    </row>
    <row r="53" spans="2:14" ht="16.5" x14ac:dyDescent="0.35">
      <c r="B53" s="112" t="s">
        <v>289</v>
      </c>
      <c r="C53" s="133">
        <f>(VLOOKUP(Tablas!C$1,'Base original'!$A$89:$BS$496,45,FALSE)/100)-VLOOKUP(Tablas!C$1,'Base original'!$A$89:$BS$496,44,FALSE)/100</f>
        <v>-252.79359697228298</v>
      </c>
      <c r="D53" s="134"/>
      <c r="E53" s="133">
        <f>(VLOOKUP(Tablas!E$1,'Base original'!$A$89:$BS$496,45)/100)-VLOOKUP(Tablas!E$1,'Base original'!$A$89:$BS$496,44)/100</f>
        <v>-256.21834975231172</v>
      </c>
      <c r="F53" s="117">
        <f>C53-E53</f>
        <v>3.4247527800287401</v>
      </c>
      <c r="G53" s="118">
        <f>(C53-E53)*100</f>
        <v>342.47527800287401</v>
      </c>
      <c r="I53" s="99">
        <v>10</v>
      </c>
      <c r="J53" s="100">
        <v>20</v>
      </c>
    </row>
    <row r="54" spans="2:14" ht="16.5" x14ac:dyDescent="0.35">
      <c r="B54" s="112" t="s">
        <v>290</v>
      </c>
      <c r="C54" s="133">
        <f>(VLOOKUP(Tablas!C$1,'Base original'!$A$89:$BS$496,47,FALSE)/100)-VLOOKUP(Tablas!C$1,'Base original'!$A$89:$BS$496,46,FALSE)/100</f>
        <v>157.8018257942424</v>
      </c>
      <c r="D54" s="134"/>
      <c r="E54" s="133">
        <f>(VLOOKUP(Tablas!E$1,'Base original'!$A$89:$BS$496,47)/100)-VLOOKUP(Tablas!E$1,'Base original'!$A$89:$BS$496,46)/100</f>
        <v>156.66810790222252</v>
      </c>
      <c r="F54" s="117">
        <f>C54-E54</f>
        <v>1.133717892019888</v>
      </c>
      <c r="G54" s="118">
        <f>(C54-E54)*100</f>
        <v>113.3717892019888</v>
      </c>
      <c r="H54" s="2"/>
      <c r="I54" s="99">
        <v>30</v>
      </c>
      <c r="J54" s="100">
        <v>60</v>
      </c>
      <c r="K54" s="2"/>
    </row>
    <row r="55" spans="2:14" ht="16.5" x14ac:dyDescent="0.35">
      <c r="B55" s="112" t="s">
        <v>291</v>
      </c>
      <c r="C55" s="133">
        <f>(VLOOKUP(Tablas!C$1,'Base original'!$A$89:$BS$496,49,FALSE)/100)-VLOOKUP(Tablas!C$1,'Base original'!$A$89:$BS$496,48,FALSE)/100</f>
        <v>146.65384606186379</v>
      </c>
      <c r="D55" s="134"/>
      <c r="E55" s="133">
        <f>(VLOOKUP(Tablas!E$1,'Base original'!$A$89:$BS$496,49)/100)-VLOOKUP(Tablas!E$1,'Base original'!$A$89:$BS$496,48)/100</f>
        <v>150.05074013545385</v>
      </c>
      <c r="F55" s="117">
        <f>C55-E55</f>
        <v>-3.3968940735900617</v>
      </c>
      <c r="G55" s="118">
        <f>(C55-E55)*100</f>
        <v>-339.68940735900617</v>
      </c>
      <c r="H55" s="2"/>
      <c r="I55" s="99">
        <v>30</v>
      </c>
      <c r="J55" s="100">
        <v>60</v>
      </c>
      <c r="K55" s="2"/>
    </row>
    <row r="56" spans="2:14" x14ac:dyDescent="0.25">
      <c r="F56" s="2"/>
      <c r="G56" s="2"/>
      <c r="H56" s="2"/>
      <c r="I56" s="2"/>
      <c r="J56" s="2"/>
      <c r="K56" s="2"/>
    </row>
    <row r="57" spans="2:14" x14ac:dyDescent="0.25">
      <c r="F57" s="2"/>
      <c r="G57" s="2"/>
      <c r="H57" s="2"/>
      <c r="I57" s="2"/>
      <c r="J57" s="2"/>
      <c r="K57" s="2"/>
    </row>
    <row r="58" spans="2:14" x14ac:dyDescent="0.25">
      <c r="B58" s="22"/>
      <c r="C58" s="22"/>
      <c r="D58" s="22"/>
      <c r="E58" s="22"/>
      <c r="F58" s="114"/>
      <c r="G58" s="114"/>
      <c r="H58" s="114"/>
      <c r="I58" s="136"/>
      <c r="J58" s="114"/>
      <c r="K58" s="114"/>
    </row>
    <row r="59" spans="2:14" x14ac:dyDescent="0.25">
      <c r="B59" s="22"/>
      <c r="C59" s="36" t="s">
        <v>292</v>
      </c>
      <c r="D59" s="36" t="s">
        <v>293</v>
      </c>
      <c r="E59" s="36" t="s">
        <v>294</v>
      </c>
      <c r="F59" s="36" t="s">
        <v>295</v>
      </c>
      <c r="G59" s="114" t="s">
        <v>296</v>
      </c>
      <c r="H59" s="137"/>
      <c r="I59" s="136"/>
      <c r="J59" s="12"/>
      <c r="K59" s="12"/>
      <c r="L59" s="12"/>
    </row>
    <row r="60" spans="2:14" x14ac:dyDescent="0.25">
      <c r="B60" s="138" t="s">
        <v>68</v>
      </c>
      <c r="C60" s="22">
        <v>2.88</v>
      </c>
      <c r="D60" s="22">
        <v>2.7600000000000002</v>
      </c>
      <c r="E60" s="139">
        <v>2.88</v>
      </c>
      <c r="F60" s="12">
        <v>2.7600000000000002</v>
      </c>
      <c r="G60" s="12">
        <v>2.7600000000000002</v>
      </c>
      <c r="H60" s="12"/>
      <c r="I60" s="12"/>
      <c r="J60" s="114"/>
      <c r="K60" s="114"/>
    </row>
    <row r="61" spans="2:14" x14ac:dyDescent="0.25">
      <c r="B61" s="138" t="s">
        <v>69</v>
      </c>
      <c r="C61" s="22">
        <v>3.24</v>
      </c>
      <c r="D61" s="22">
        <v>3.24</v>
      </c>
      <c r="E61" s="139">
        <v>3.4799999999999995</v>
      </c>
      <c r="F61" s="12">
        <v>3.4799999999999995</v>
      </c>
      <c r="G61" s="12">
        <v>3.24</v>
      </c>
      <c r="H61" s="12"/>
      <c r="I61" s="12"/>
      <c r="J61" s="114"/>
      <c r="K61" s="114"/>
      <c r="L61" s="12"/>
      <c r="M61" s="12"/>
      <c r="N61" s="12"/>
    </row>
    <row r="62" spans="2:14" x14ac:dyDescent="0.25">
      <c r="B62" s="138" t="s">
        <v>70</v>
      </c>
      <c r="C62" s="22">
        <v>3.5999999999999996</v>
      </c>
      <c r="D62" s="22">
        <v>3.7199999999999998</v>
      </c>
      <c r="E62" s="139">
        <v>3.96</v>
      </c>
      <c r="F62" s="12">
        <v>3.96</v>
      </c>
      <c r="G62" s="12">
        <v>3.96</v>
      </c>
      <c r="H62" s="12"/>
      <c r="I62" s="12"/>
      <c r="J62" s="114"/>
      <c r="K62" s="114"/>
      <c r="L62" s="12"/>
      <c r="M62" s="12"/>
      <c r="N62" s="12"/>
    </row>
    <row r="63" spans="2:14" x14ac:dyDescent="0.25">
      <c r="B63" s="138"/>
      <c r="C63" s="36"/>
      <c r="D63" s="87"/>
      <c r="E63" s="87"/>
      <c r="F63" s="12"/>
      <c r="G63" s="12"/>
      <c r="H63" s="12"/>
      <c r="I63" s="12"/>
      <c r="J63" s="114"/>
      <c r="K63" s="114"/>
    </row>
    <row r="64" spans="2:14" x14ac:dyDescent="0.25">
      <c r="B64" s="22"/>
      <c r="C64" s="22"/>
      <c r="D64" s="22"/>
      <c r="E64" s="22"/>
      <c r="F64" s="114"/>
      <c r="G64" s="114"/>
      <c r="H64" s="114"/>
      <c r="I64" s="136"/>
      <c r="J64" s="114"/>
      <c r="K64" s="114"/>
    </row>
    <row r="65" spans="2:4" x14ac:dyDescent="0.25">
      <c r="C65" s="98" t="s">
        <v>297</v>
      </c>
      <c r="D65" s="98"/>
    </row>
    <row r="66" spans="2:4" x14ac:dyDescent="0.25">
      <c r="B66" s="140" t="s">
        <v>298</v>
      </c>
      <c r="C66" s="98">
        <v>2.5</v>
      </c>
      <c r="D66" s="98"/>
    </row>
    <row r="67" spans="2:4" x14ac:dyDescent="0.25">
      <c r="B67" s="140" t="s">
        <v>299</v>
      </c>
      <c r="C67" s="98">
        <v>2.75</v>
      </c>
      <c r="D67" s="98"/>
    </row>
    <row r="68" spans="2:4" x14ac:dyDescent="0.25">
      <c r="B68" s="141" t="s">
        <v>300</v>
      </c>
      <c r="C68" s="98">
        <v>3.25</v>
      </c>
      <c r="D68" s="98"/>
    </row>
    <row r="69" spans="2:4" x14ac:dyDescent="0.25">
      <c r="B69" s="141" t="s">
        <v>301</v>
      </c>
      <c r="C69" s="98">
        <v>3.75</v>
      </c>
      <c r="D69" s="98"/>
    </row>
  </sheetData>
  <conditionalFormatting sqref="D26:D28">
    <cfRule type="iconSet" priority="14">
      <iconSet iconSet="5ArrowsGray" showValue="0">
        <cfvo type="percent" val="0"/>
        <cfvo type="num" val="-1"/>
        <cfvo type="num" val="-0.15"/>
        <cfvo type="num" val="0.15"/>
        <cfvo type="num" val="1"/>
      </iconSet>
    </cfRule>
  </conditionalFormatting>
  <conditionalFormatting sqref="D16:D20">
    <cfRule type="iconSet" priority="13">
      <iconSet iconSet="5ArrowsGray" showValue="0">
        <cfvo type="percent" val="0"/>
        <cfvo type="num" val="-0.7"/>
        <cfvo type="num" val="-0.13"/>
        <cfvo type="num" val="0.13"/>
        <cfvo type="num" val="0.7"/>
      </iconSet>
    </cfRule>
  </conditionalFormatting>
  <conditionalFormatting sqref="D6">
    <cfRule type="iconSet" priority="12">
      <iconSet iconSet="5ArrowsGray" showValue="0">
        <cfvo type="percent" val="0"/>
        <cfvo type="num" val="-0.5"/>
        <cfvo type="num" val="-0.2"/>
        <cfvo type="num" val="0.2"/>
        <cfvo type="num" val="0.5"/>
      </iconSet>
    </cfRule>
  </conditionalFormatting>
  <conditionalFormatting sqref="D36:D39">
    <cfRule type="iconSet" priority="11">
      <iconSet iconSet="5ArrowsGray" showValue="0">
        <cfvo type="percent" val="0"/>
        <cfvo type="num" val="-0.2"/>
        <cfvo type="num" val="-0.1"/>
        <cfvo type="num" val="0.1"/>
        <cfvo type="num" val="0.2"/>
      </iconSet>
    </cfRule>
  </conditionalFormatting>
  <conditionalFormatting sqref="D33:D35">
    <cfRule type="iconSet" priority="10">
      <iconSet iconSet="5ArrowsGray" showValue="0">
        <cfvo type="percent" val="0"/>
        <cfvo type="num" val="-0.6"/>
        <cfvo type="num" val="-0.3"/>
        <cfvo type="num" val="0.3"/>
        <cfvo type="num" val="0.6"/>
      </iconSet>
    </cfRule>
  </conditionalFormatting>
  <conditionalFormatting sqref="D43:D48">
    <cfRule type="iconSet" priority="9">
      <iconSet iconSet="5ArrowsGray" showValue="0">
        <cfvo type="percent" val="0"/>
        <cfvo type="num" val="-0.2"/>
        <cfvo type="num" val="-0.1"/>
        <cfvo type="num" val="0.1"/>
        <cfvo type="num" val="0.2"/>
      </iconSet>
    </cfRule>
  </conditionalFormatting>
  <conditionalFormatting sqref="D49">
    <cfRule type="iconSet" priority="8">
      <iconSet iconSet="5ArrowsGray" showValue="0">
        <cfvo type="percent" val="0"/>
        <cfvo type="num" val="-0.6"/>
        <cfvo type="num" val="-0.3"/>
        <cfvo type="num" val="0.3"/>
        <cfvo type="num" val="0.6"/>
      </iconSet>
    </cfRule>
  </conditionalFormatting>
  <conditionalFormatting sqref="D52:D53">
    <cfRule type="iconSet" priority="7">
      <iconSet iconSet="5ArrowsGray" showValue="0">
        <cfvo type="percent" val="0"/>
        <cfvo type="num" val="-0.2"/>
        <cfvo type="num" val="-0.1"/>
        <cfvo type="num" val="0.1"/>
        <cfvo type="num" val="0.2"/>
      </iconSet>
    </cfRule>
  </conditionalFormatting>
  <conditionalFormatting sqref="D54:D55">
    <cfRule type="iconSet" priority="6">
      <iconSet iconSet="5ArrowsGray" showValue="0">
        <cfvo type="percent" val="0"/>
        <cfvo type="num" val="-0.6"/>
        <cfvo type="num" val="-0.3"/>
        <cfvo type="num" val="0.3"/>
        <cfvo type="num" val="0.6"/>
      </iconSet>
    </cfRule>
  </conditionalFormatting>
  <conditionalFormatting sqref="D50">
    <cfRule type="iconSet" priority="5">
      <iconSet iconSet="5ArrowsGray" showValue="0">
        <cfvo type="percent" val="0"/>
        <cfvo type="num" val="-0.7"/>
        <cfvo type="num" val="-0.24"/>
        <cfvo type="num" val="0.24"/>
        <cfvo type="num" val="0.7"/>
      </iconSet>
    </cfRule>
  </conditionalFormatting>
  <conditionalFormatting sqref="K6">
    <cfRule type="iconSet" priority="4">
      <iconSet iconSet="5ArrowsGray" showValue="0">
        <cfvo type="percent" val="0"/>
        <cfvo type="num" val="-0.56000000000000005"/>
        <cfvo type="num" val="-0.28000000000000003"/>
        <cfvo type="num" val="0.28000000000000003"/>
        <cfvo type="num" val="0.56000000000000005"/>
      </iconSet>
    </cfRule>
  </conditionalFormatting>
  <conditionalFormatting sqref="D7">
    <cfRule type="iconSet" priority="3">
      <iconSet iconSet="5ArrowsGray" showValue="0">
        <cfvo type="percent" val="0"/>
        <cfvo type="num" val="-0.3"/>
        <cfvo type="num" val="-0.08"/>
        <cfvo type="num" val="0.08"/>
        <cfvo type="num" val="0.3"/>
      </iconSet>
    </cfRule>
  </conditionalFormatting>
  <conditionalFormatting sqref="D8">
    <cfRule type="iconSet" priority="2">
      <iconSet iconSet="5ArrowsGray" showValue="0">
        <cfvo type="percent" val="0"/>
        <cfvo type="num" val="-0.3"/>
        <cfvo type="num" val="-0.09"/>
        <cfvo type="num" val="0.09"/>
        <cfvo type="num" val="0.3"/>
      </iconSet>
    </cfRule>
  </conditionalFormatting>
  <conditionalFormatting sqref="D9">
    <cfRule type="iconSet" priority="1">
      <iconSet iconSet="5ArrowsGray" showValue="0">
        <cfvo type="percent" val="0"/>
        <cfvo type="num" val="-0.1"/>
        <cfvo type="num" val="-0.09"/>
        <cfvo type="num" val="0.09"/>
        <cfvo type="num" val="0.1"/>
      </iconSet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Base original</vt:lpstr>
      <vt:lpstr>Base gráficos 1</vt:lpstr>
      <vt:lpstr>Base gráficos 2</vt:lpstr>
      <vt:lpstr>Gráficos</vt:lpstr>
      <vt:lpstr>Tablas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2021-02-04T21:40:18Z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