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65" windowHeight="5205" tabRatio="858" activeTab="0"/>
  </bookViews>
  <sheets>
    <sheet name="Balance BCCh" sheetId="1" r:id="rId1"/>
    <sheet name="series_log" sheetId="2" state="hidden" r:id="rId2"/>
    <sheet name="Reservas Internacionales" sheetId="3" r:id="rId3"/>
    <sheet name="Graficos RIN (2)" sheetId="4" state="hidden" r:id="rId4"/>
    <sheet name="Ptmos Sector Público" sheetId="5" r:id="rId5"/>
    <sheet name="Base Monetaria" sheetId="6" r:id="rId6"/>
    <sheet name="Documentos BCCh" sheetId="7" r:id="rId7"/>
    <sheet name="Graficos Papeles BCCh Crit 2" sheetId="8" state="hidden" r:id="rId8"/>
  </sheets>
  <definedNames>
    <definedName name="_xlnm.Print_Area" localSheetId="0">'Balance BCCh'!$A$2:$J$94</definedName>
    <definedName name="_xlnm.Print_Area" localSheetId="5">'Base Monetaria'!$A$2:$E$94</definedName>
    <definedName name="_xlnm.Print_Area" localSheetId="6">'Documentos BCCh'!$A$2:$G$42</definedName>
    <definedName name="_xlnm.Print_Area" localSheetId="7">'Graficos Papeles BCCh Crit 2'!$A$2:$F$39</definedName>
    <definedName name="_xlnm.Print_Area" localSheetId="3">'Graficos RIN (2)'!$A$2:$P$91</definedName>
    <definedName name="_xlnm.Print_Area" localSheetId="2">'Reservas Internacionales'!$A$2:$E$94</definedName>
    <definedName name="_xlnm.Print_Area" localSheetId="1">'series_log'!$A$2:$K$91</definedName>
  </definedNames>
  <calcPr fullCalcOnLoad="1"/>
</workbook>
</file>

<file path=xl/comments4.xml><?xml version="1.0" encoding="utf-8"?>
<comments xmlns="http://schemas.openxmlformats.org/spreadsheetml/2006/main">
  <authors>
    <author>Jos? Rom?n P.</author>
  </authors>
  <commentList>
    <comment ref="D85" authorId="0">
      <text>
        <r>
          <rPr>
            <b/>
            <sz val="9"/>
            <rFont val="Tahoma"/>
            <family val="2"/>
          </rPr>
          <t>José Román P.: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Para desglose ver Nota N° 3, de Estados Financieros publicados en la web http://www.bcentral.cl/acerca/estados-financieros/pdf/estadosfinancieros2007.pdf</t>
        </r>
      </text>
    </comment>
    <comment ref="A87" authorId="0">
      <text>
        <r>
          <rPr>
            <b/>
            <sz val="9"/>
            <rFont val="Tahoma"/>
            <family val="2"/>
          </rPr>
          <t>José Román P.: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Parte IFRS</t>
        </r>
      </text>
    </comment>
  </commentList>
</comments>
</file>

<file path=xl/sharedStrings.xml><?xml version="1.0" encoding="utf-8"?>
<sst xmlns="http://schemas.openxmlformats.org/spreadsheetml/2006/main" count="91" uniqueCount="63">
  <si>
    <t>Series Finales (pesos nuevos)</t>
  </si>
  <si>
    <t>Año</t>
  </si>
  <si>
    <t>Billetes y moneda divisionaria en circulación</t>
  </si>
  <si>
    <t>Depósitos de instituciones financieras (M/N) (ctas ctes)</t>
  </si>
  <si>
    <t>Depósito para reserva técnica</t>
  </si>
  <si>
    <t>Bonos, certificados, pagares y otros doctos emitidos por el BCCH</t>
  </si>
  <si>
    <t>Patrimonio</t>
  </si>
  <si>
    <t>Series Finales (log(miles de pesos))</t>
  </si>
  <si>
    <t>Base monetaria</t>
  </si>
  <si>
    <t>Total activo</t>
  </si>
  <si>
    <t>Total pasivo</t>
  </si>
  <si>
    <t>Colocaciones al fisco</t>
  </si>
  <si>
    <t>Reservas internacionales</t>
  </si>
  <si>
    <t>PIB</t>
  </si>
  <si>
    <t>% PIB</t>
  </si>
  <si>
    <t>Total</t>
  </si>
  <si>
    <t>% Pasivos</t>
  </si>
  <si>
    <t>Total Activos</t>
  </si>
  <si>
    <t>Reservas Internacionales Netas</t>
  </si>
  <si>
    <t>Oro y Divisas</t>
  </si>
  <si>
    <t>Bonos, certificados de depósito y otros</t>
  </si>
  <si>
    <t>Otros valores</t>
  </si>
  <si>
    <t>Cuota suscripción FMI</t>
  </si>
  <si>
    <t xml:space="preserve">Acuerdos de créditos recíprocos </t>
  </si>
  <si>
    <t>Tenencia de derechos especiales de giro</t>
  </si>
  <si>
    <t>% Activos</t>
  </si>
  <si>
    <t xml:space="preserve">Préstamos al Fisco </t>
  </si>
  <si>
    <t>Préstamos al Sector Público</t>
  </si>
  <si>
    <t>Documentos Emitidos por el BCCh</t>
  </si>
  <si>
    <t>Documentos en Pesos</t>
  </si>
  <si>
    <t>Documentos en UF</t>
  </si>
  <si>
    <t>Documentos en USD</t>
  </si>
  <si>
    <t>Reprogramaciones</t>
  </si>
  <si>
    <t>Otros</t>
  </si>
  <si>
    <t>Instrumentos de Polit. Monetaria</t>
  </si>
  <si>
    <t>Otros Instrumentos</t>
  </si>
  <si>
    <t>Derechos con Org. Internacionales</t>
  </si>
  <si>
    <t>Reservas Internacionales Netas S/ BDE</t>
  </si>
  <si>
    <t>Diferencias</t>
  </si>
  <si>
    <t>Inversiones en divisas:</t>
  </si>
  <si>
    <t>Corresponsales en el exterior</t>
  </si>
  <si>
    <t>Divisas</t>
  </si>
  <si>
    <t>Oro</t>
  </si>
  <si>
    <t>Monedas y depósitos</t>
  </si>
  <si>
    <t>TC Dólar</t>
  </si>
  <si>
    <t>Oro y Eq. Efectivo</t>
  </si>
  <si>
    <t>Reservas Internacionales</t>
  </si>
  <si>
    <t>Otros Activos</t>
  </si>
  <si>
    <t>Otros Valores</t>
  </si>
  <si>
    <t>Derechos con Org. Int.</t>
  </si>
  <si>
    <t>Balance Banco Central de Chile</t>
  </si>
  <si>
    <t>Cifras en pesos actuales</t>
  </si>
  <si>
    <t>Balance Banco Central de Chile: Desglose Reservas Internacionales</t>
  </si>
  <si>
    <t>Balance Banco Central de Chile: Desglose Préstamos al Sector Público</t>
  </si>
  <si>
    <t>Balance Banco Central de Chile: Desglose Base Monetaria</t>
  </si>
  <si>
    <t>Documentos Emitidos por el  BCCh</t>
  </si>
  <si>
    <t>Balance Banco Central de Chile: Desglose Documentos Emitidos por el BCCh</t>
  </si>
  <si>
    <t>Bonos, Certif., Depós. y otros</t>
  </si>
  <si>
    <t>Préstamos a Reparticiones Públicas</t>
  </si>
  <si>
    <t>Préstamos a Instituciones de Fomento</t>
  </si>
  <si>
    <t xml:space="preserve">Billetes y Moneda </t>
  </si>
  <si>
    <t xml:space="preserve">Depósitos de Instituciones Financieras </t>
  </si>
  <si>
    <t>Depósito para Reserva Técnica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</si>
</sst>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_-* #,##0.0_-;\-* #,##0.0_-;_-* &quot;-&quot;??_-;_-@_-"/>
    <numFmt numFmtId="172" formatCode="_-* #,##0.0_-;\-* #,##0.0_-;_-* &quot;-&quot;?_-;_-@_-"/>
    <numFmt numFmtId="173" formatCode="[$-80A]dddd\,\ dd&quot; de &quot;mmmm&quot; de &quot;yyyy"/>
    <numFmt numFmtId="174" formatCode="###0"/>
    <numFmt numFmtId="175" formatCode="_-* #,##0.000_-;\-* #,##0.000_-;_-* &quot;-&quot;??_-;_-@_-"/>
    <numFmt numFmtId="176" formatCode="0.0%"/>
    <numFmt numFmtId="177" formatCode="[$-340A]d&quot; de &quot;mmmm&quot; de &quot;yyyy;@"/>
    <numFmt numFmtId="178" formatCode="_-* #,##0.00_-;\-* #,##0.00_-;_-* &quot;-&quot;_-;_-@_-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000_-;\-* #,##0.0000_-;_-* &quot;-&quot;??_-;_-@_-"/>
    <numFmt numFmtId="185" formatCode="0.000"/>
    <numFmt numFmtId="186" formatCode="#,##0.0"/>
    <numFmt numFmtId="187" formatCode="0.0000E+00"/>
    <numFmt numFmtId="188" formatCode="_-* #,##0.0_-;\-* #,##0.0_-;_-* &quot;-&quot;_-;_-@_-"/>
    <numFmt numFmtId="189" formatCode="0.0000%"/>
    <numFmt numFmtId="190" formatCode="0.000000%"/>
    <numFmt numFmtId="191" formatCode="0.00000000%"/>
    <numFmt numFmtId="192" formatCode="_-* #,##0.00000_-;\-* #,##0.00000_-;_-* &quot;-&quot;??_-;_-@_-"/>
    <numFmt numFmtId="193" formatCode="0.0000000%"/>
    <numFmt numFmtId="194" formatCode="_-* #,##0.0000_-;\-* #,##0.0000_-;_-* &quot;-&quot;?_-;_-@_-"/>
    <numFmt numFmtId="195" formatCode="_-* #,##0_-;\-* #,##0_-;_-* &quot;-&quot;?_-;_-@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yyyy"/>
    <numFmt numFmtId="200" formatCode="0,000.00%"/>
    <numFmt numFmtId="201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177" fontId="0" fillId="8" borderId="0" applyNumberFormat="0" applyBorder="0" applyAlignment="0" applyProtection="0"/>
    <xf numFmtId="0" fontId="0" fillId="9" borderId="0" applyNumberFormat="0" applyBorder="0" applyAlignment="0" applyProtection="0"/>
    <xf numFmtId="177" fontId="0" fillId="9" borderId="0" applyNumberFormat="0" applyBorder="0" applyAlignment="0" applyProtection="0"/>
    <xf numFmtId="0" fontId="0" fillId="10" borderId="0" applyNumberFormat="0" applyBorder="0" applyAlignment="0" applyProtection="0"/>
    <xf numFmtId="177" fontId="0" fillId="10" borderId="0" applyNumberFormat="0" applyBorder="0" applyAlignment="0" applyProtection="0"/>
    <xf numFmtId="0" fontId="0" fillId="11" borderId="0" applyNumberFormat="0" applyBorder="0" applyAlignment="0" applyProtection="0"/>
    <xf numFmtId="177" fontId="0" fillId="11" borderId="0" applyNumberFormat="0" applyBorder="0" applyAlignment="0" applyProtection="0"/>
    <xf numFmtId="0" fontId="0" fillId="12" borderId="0" applyNumberFormat="0" applyBorder="0" applyAlignment="0" applyProtection="0"/>
    <xf numFmtId="177" fontId="0" fillId="12" borderId="0" applyNumberFormat="0" applyBorder="0" applyAlignment="0" applyProtection="0"/>
    <xf numFmtId="0" fontId="0" fillId="13" borderId="0" applyNumberFormat="0" applyBorder="0" applyAlignment="0" applyProtection="0"/>
    <xf numFmtId="177" fontId="0" fillId="13" borderId="0" applyNumberFormat="0" applyBorder="0" applyAlignment="0" applyProtection="0"/>
    <xf numFmtId="0" fontId="32" fillId="14" borderId="0" applyNumberFormat="0" applyBorder="0" applyAlignment="0" applyProtection="0"/>
    <xf numFmtId="177" fontId="32" fillId="14" borderId="0" applyNumberFormat="0" applyBorder="0" applyAlignment="0" applyProtection="0"/>
    <xf numFmtId="177" fontId="32" fillId="14" borderId="0" applyNumberFormat="0" applyBorder="0" applyAlignment="0" applyProtection="0"/>
    <xf numFmtId="0" fontId="32" fillId="15" borderId="0" applyNumberFormat="0" applyBorder="0" applyAlignment="0" applyProtection="0"/>
    <xf numFmtId="177" fontId="32" fillId="15" borderId="0" applyNumberFormat="0" applyBorder="0" applyAlignment="0" applyProtection="0"/>
    <xf numFmtId="177" fontId="32" fillId="15" borderId="0" applyNumberFormat="0" applyBorder="0" applyAlignment="0" applyProtection="0"/>
    <xf numFmtId="0" fontId="32" fillId="16" borderId="0" applyNumberFormat="0" applyBorder="0" applyAlignment="0" applyProtection="0"/>
    <xf numFmtId="177" fontId="32" fillId="16" borderId="0" applyNumberFormat="0" applyBorder="0" applyAlignment="0" applyProtection="0"/>
    <xf numFmtId="177" fontId="32" fillId="16" borderId="0" applyNumberFormat="0" applyBorder="0" applyAlignment="0" applyProtection="0"/>
    <xf numFmtId="0" fontId="32" fillId="17" borderId="0" applyNumberFormat="0" applyBorder="0" applyAlignment="0" applyProtection="0"/>
    <xf numFmtId="177" fontId="32" fillId="17" borderId="0" applyNumberFormat="0" applyBorder="0" applyAlignment="0" applyProtection="0"/>
    <xf numFmtId="177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32" fillId="19" borderId="0" applyNumberFormat="0" applyBorder="0" applyAlignment="0" applyProtection="0"/>
    <xf numFmtId="177" fontId="32" fillId="19" borderId="0" applyNumberFormat="0" applyBorder="0" applyAlignment="0" applyProtection="0"/>
    <xf numFmtId="0" fontId="2" fillId="0" borderId="0">
      <alignment vertical="center"/>
      <protection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177" fontId="32" fillId="23" borderId="0" applyNumberFormat="0" applyBorder="0" applyAlignment="0" applyProtection="0"/>
    <xf numFmtId="177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177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177" fontId="37" fillId="0" borderId="8" applyNumberFormat="0" applyFill="0" applyAlignment="0" applyProtection="0"/>
    <xf numFmtId="177" fontId="37" fillId="0" borderId="8" applyNumberFormat="0" applyFill="0" applyAlignment="0" applyProtection="0"/>
    <xf numFmtId="177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70" fontId="1" fillId="0" borderId="0" xfId="69" applyNumberFormat="1" applyFont="1" applyFill="1" applyBorder="1" applyAlignment="1">
      <alignment horizontal="center" vertical="center" wrapText="1"/>
    </xf>
    <xf numFmtId="171" fontId="1" fillId="0" borderId="0" xfId="69" applyNumberFormat="1" applyFont="1" applyFill="1" applyBorder="1" applyAlignment="1">
      <alignment/>
    </xf>
    <xf numFmtId="170" fontId="1" fillId="0" borderId="0" xfId="69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70" fontId="0" fillId="0" borderId="11" xfId="0" applyNumberFormat="1" applyFill="1" applyBorder="1" applyAlignment="1">
      <alignment horizontal="center" vertical="center" wrapText="1"/>
    </xf>
    <xf numFmtId="9" fontId="1" fillId="0" borderId="0" xfId="121" applyNumberFormat="1" applyFont="1" applyFill="1" applyBorder="1" applyAlignment="1">
      <alignment horizontal="center"/>
    </xf>
    <xf numFmtId="9" fontId="1" fillId="0" borderId="0" xfId="121" applyFon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0" fontId="6" fillId="33" borderId="0" xfId="69" applyNumberFormat="1" applyFont="1" applyFill="1" applyAlignment="1">
      <alignment horizontal="center" vertical="center" wrapText="1"/>
    </xf>
    <xf numFmtId="170" fontId="0" fillId="0" borderId="0" xfId="0" applyNumberFormat="1" applyFill="1" applyBorder="1" applyAlignment="1">
      <alignment/>
    </xf>
    <xf numFmtId="170" fontId="0" fillId="0" borderId="12" xfId="0" applyNumberFormat="1" applyFill="1" applyBorder="1" applyAlignment="1">
      <alignment horizontal="center" vertical="center" wrapText="1"/>
    </xf>
    <xf numFmtId="9" fontId="1" fillId="0" borderId="13" xfId="121" applyNumberFormat="1" applyFont="1" applyFill="1" applyBorder="1" applyAlignment="1">
      <alignment horizontal="center"/>
    </xf>
    <xf numFmtId="9" fontId="1" fillId="0" borderId="14" xfId="121" applyNumberFormat="1" applyFont="1" applyFill="1" applyBorder="1" applyAlignment="1">
      <alignment horizontal="center"/>
    </xf>
    <xf numFmtId="9" fontId="1" fillId="0" borderId="15" xfId="121" applyNumberFormat="1" applyFont="1" applyFill="1" applyBorder="1" applyAlignment="1">
      <alignment horizontal="center"/>
    </xf>
    <xf numFmtId="9" fontId="1" fillId="0" borderId="16" xfId="121" applyNumberFormat="1" applyFont="1" applyFill="1" applyBorder="1" applyAlignment="1">
      <alignment horizontal="center"/>
    </xf>
    <xf numFmtId="9" fontId="1" fillId="0" borderId="10" xfId="121" applyNumberFormat="1" applyFont="1" applyFill="1" applyBorder="1" applyAlignment="1">
      <alignment horizontal="center"/>
    </xf>
    <xf numFmtId="9" fontId="1" fillId="0" borderId="13" xfId="121" applyFont="1" applyFill="1" applyBorder="1" applyAlignment="1">
      <alignment horizontal="center"/>
    </xf>
    <xf numFmtId="9" fontId="1" fillId="0" borderId="14" xfId="121" applyFont="1" applyFill="1" applyBorder="1" applyAlignment="1">
      <alignment horizontal="center"/>
    </xf>
    <xf numFmtId="9" fontId="1" fillId="0" borderId="15" xfId="121" applyFont="1" applyFill="1" applyBorder="1" applyAlignment="1">
      <alignment horizontal="center"/>
    </xf>
    <xf numFmtId="9" fontId="1" fillId="0" borderId="16" xfId="121" applyFont="1" applyFill="1" applyBorder="1" applyAlignment="1">
      <alignment horizontal="center"/>
    </xf>
    <xf numFmtId="9" fontId="1" fillId="0" borderId="10" xfId="12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70" fontId="8" fillId="0" borderId="0" xfId="69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0" fontId="1" fillId="0" borderId="0" xfId="69" applyNumberFormat="1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170" fontId="1" fillId="10" borderId="0" xfId="69" applyNumberFormat="1" applyFont="1" applyFill="1" applyBorder="1" applyAlignment="1">
      <alignment wrapText="1"/>
    </xf>
    <xf numFmtId="0" fontId="8" fillId="10" borderId="0" xfId="0" applyFont="1" applyFill="1" applyAlignment="1">
      <alignment horizontal="center" vertical="center" wrapText="1"/>
    </xf>
    <xf numFmtId="43" fontId="1" fillId="10" borderId="0" xfId="69" applyNumberFormat="1" applyFont="1" applyFill="1" applyBorder="1" applyAlignment="1">
      <alignment wrapText="1"/>
    </xf>
    <xf numFmtId="170" fontId="1" fillId="10" borderId="0" xfId="69" applyNumberFormat="1" applyFont="1" applyFill="1" applyBorder="1" applyAlignment="1">
      <alignment/>
    </xf>
    <xf numFmtId="170" fontId="1" fillId="10" borderId="0" xfId="69" applyNumberFormat="1" applyFont="1" applyFill="1" applyBorder="1" applyAlignment="1">
      <alignment/>
    </xf>
    <xf numFmtId="43" fontId="1" fillId="10" borderId="0" xfId="69" applyNumberFormat="1" applyFont="1" applyFill="1" applyBorder="1" applyAlignment="1">
      <alignment horizontal="center" wrapText="1"/>
    </xf>
    <xf numFmtId="170" fontId="1" fillId="10" borderId="0" xfId="69" applyNumberFormat="1" applyFont="1" applyFill="1" applyBorder="1" applyAlignment="1">
      <alignment horizontal="center" wrapText="1"/>
    </xf>
    <xf numFmtId="0" fontId="8" fillId="34" borderId="0" xfId="0" applyFont="1" applyFill="1" applyAlignment="1">
      <alignment horizontal="center" vertical="center" wrapText="1"/>
    </xf>
    <xf numFmtId="170" fontId="1" fillId="0" borderId="13" xfId="69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0" fontId="1" fillId="10" borderId="0" xfId="69" applyNumberFormat="1" applyFont="1" applyFill="1" applyBorder="1" applyAlignment="1">
      <alignment horizontal="center"/>
    </xf>
    <xf numFmtId="43" fontId="1" fillId="10" borderId="0" xfId="69" applyNumberFormat="1" applyFont="1" applyFill="1" applyBorder="1" applyAlignment="1">
      <alignment horizontal="center"/>
    </xf>
    <xf numFmtId="0" fontId="8" fillId="35" borderId="0" xfId="0" applyFont="1" applyFill="1" applyAlignment="1">
      <alignment horizontal="center" vertical="center" wrapText="1"/>
    </xf>
    <xf numFmtId="0" fontId="32" fillId="36" borderId="0" xfId="0" applyFont="1" applyFill="1" applyBorder="1" applyAlignment="1">
      <alignment horizontal="center"/>
    </xf>
    <xf numFmtId="170" fontId="1" fillId="37" borderId="0" xfId="69" applyNumberFormat="1" applyFont="1" applyFill="1" applyBorder="1" applyAlignment="1">
      <alignment/>
    </xf>
    <xf numFmtId="0" fontId="0" fillId="37" borderId="0" xfId="0" applyFill="1" applyBorder="1" applyAlignment="1">
      <alignment horizontal="center"/>
    </xf>
    <xf numFmtId="170" fontId="32" fillId="36" borderId="0" xfId="69" applyNumberFormat="1" applyFont="1" applyFill="1" applyBorder="1" applyAlignment="1">
      <alignment/>
    </xf>
    <xf numFmtId="170" fontId="1" fillId="38" borderId="0" xfId="69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170" fontId="1" fillId="38" borderId="0" xfId="69" applyNumberFormat="1" applyFont="1" applyFill="1" applyBorder="1" applyAlignment="1">
      <alignment horizontal="center" vertical="center" wrapText="1"/>
    </xf>
    <xf numFmtId="3" fontId="0" fillId="37" borderId="0" xfId="0" applyNumberForma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3" fontId="1" fillId="0" borderId="0" xfId="69" applyNumberFormat="1" applyFont="1" applyFill="1" applyBorder="1" applyAlignment="1">
      <alignment horizontal="center"/>
    </xf>
    <xf numFmtId="3" fontId="1" fillId="0" borderId="0" xfId="69" applyNumberFormat="1" applyFont="1" applyFill="1" applyBorder="1" applyAlignment="1">
      <alignment horizontal="center" wrapText="1"/>
    </xf>
    <xf numFmtId="3" fontId="1" fillId="38" borderId="0" xfId="69" applyNumberFormat="1" applyFont="1" applyFill="1" applyBorder="1" applyAlignment="1">
      <alignment horizontal="center" vertical="center" wrapText="1"/>
    </xf>
    <xf numFmtId="3" fontId="1" fillId="0" borderId="0" xfId="69" applyNumberFormat="1" applyFont="1" applyFill="1" applyBorder="1" applyAlignment="1">
      <alignment horizontal="center" vertical="center" wrapText="1"/>
    </xf>
    <xf numFmtId="3" fontId="1" fillId="38" borderId="0" xfId="69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12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1 2" xfId="22"/>
    <cellStyle name="40% - Énfasis2" xfId="23"/>
    <cellStyle name="40% - Énfasis2 2" xfId="24"/>
    <cellStyle name="40% - Énfasis3" xfId="25"/>
    <cellStyle name="40% - Énfasis3 2" xfId="26"/>
    <cellStyle name="40% - Énfasis4" xfId="27"/>
    <cellStyle name="40% - Énfasis4 2" xfId="28"/>
    <cellStyle name="40% - Énfasis5" xfId="29"/>
    <cellStyle name="40% - Énfasis5 2" xfId="30"/>
    <cellStyle name="40% - Énfasis6" xfId="31"/>
    <cellStyle name="40% - Énfasis6 2" xfId="32"/>
    <cellStyle name="60% - Énfasis1" xfId="33"/>
    <cellStyle name="60% - Énfasis1 2" xfId="34"/>
    <cellStyle name="60% - Énfasis1 3" xfId="35"/>
    <cellStyle name="60% - Énfasis2" xfId="36"/>
    <cellStyle name="60% - Énfasis2 2" xfId="37"/>
    <cellStyle name="60% - Énfasis2 3" xfId="38"/>
    <cellStyle name="60% - Énfasis3" xfId="39"/>
    <cellStyle name="60% - Énfasis3 2" xfId="40"/>
    <cellStyle name="60% - Énfasis3 3" xfId="41"/>
    <cellStyle name="60% - Énfasis4" xfId="42"/>
    <cellStyle name="60% - Énfasis4 2" xfId="43"/>
    <cellStyle name="60% - Énfasis4 3" xfId="44"/>
    <cellStyle name="60% - Énfasis5" xfId="45"/>
    <cellStyle name="60% - Énfasis6" xfId="46"/>
    <cellStyle name="60% - Énfasis6 2" xfId="47"/>
    <cellStyle name="60% - Énfasis6 3" xfId="48"/>
    <cellStyle name="bstitutes]&#13;&#10;; The following mappings take Word for MS-DOS names, PostScript names, and TrueType&#13;&#10;; names into account" xfId="49"/>
    <cellStyle name="Buena" xfId="50"/>
    <cellStyle name="Cálculo" xfId="51"/>
    <cellStyle name="Celda de comprobación" xfId="52"/>
    <cellStyle name="Celda vinculada" xfId="53"/>
    <cellStyle name="Encabezado 4" xfId="54"/>
    <cellStyle name="Énfasis1" xfId="55"/>
    <cellStyle name="Énfasis1 2" xfId="56"/>
    <cellStyle name="Énfasis1 3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Hyperlink" xfId="64"/>
    <cellStyle name="Followed Hyperlink" xfId="65"/>
    <cellStyle name="Incorrecto" xfId="66"/>
    <cellStyle name="Incorrecto 2" xfId="67"/>
    <cellStyle name="Incorrecto 3" xfId="68"/>
    <cellStyle name="Comma" xfId="69"/>
    <cellStyle name="Comma [0]" xfId="70"/>
    <cellStyle name="Millares 2" xfId="71"/>
    <cellStyle name="Currency" xfId="72"/>
    <cellStyle name="Currency [0]" xfId="73"/>
    <cellStyle name="Neutral" xfId="74"/>
    <cellStyle name="Neutral 2" xfId="75"/>
    <cellStyle name="Neutral 3" xfId="76"/>
    <cellStyle name="Normal 10" xfId="77"/>
    <cellStyle name="Normal 11" xfId="78"/>
    <cellStyle name="Normal 12" xfId="79"/>
    <cellStyle name="Normal 13" xfId="80"/>
    <cellStyle name="Normal 14" xfId="81"/>
    <cellStyle name="Normal 15" xfId="82"/>
    <cellStyle name="Normal 16" xfId="83"/>
    <cellStyle name="Normal 17" xfId="84"/>
    <cellStyle name="Normal 18" xfId="85"/>
    <cellStyle name="Normal 19" xfId="86"/>
    <cellStyle name="Normal 2" xfId="87"/>
    <cellStyle name="Normal 2 2" xfId="88"/>
    <cellStyle name="Normal 2 2 2" xfId="89"/>
    <cellStyle name="Normal 2 3" xfId="90"/>
    <cellStyle name="Normal 2 4" xfId="91"/>
    <cellStyle name="Normal 20" xfId="92"/>
    <cellStyle name="Normal 21" xfId="93"/>
    <cellStyle name="Normal 22" xfId="94"/>
    <cellStyle name="Normal 23" xfId="95"/>
    <cellStyle name="Normal 24" xfId="96"/>
    <cellStyle name="Normal 25" xfId="97"/>
    <cellStyle name="Normal 26" xfId="98"/>
    <cellStyle name="Normal 27" xfId="99"/>
    <cellStyle name="Normal 28" xfId="100"/>
    <cellStyle name="Normal 29" xfId="101"/>
    <cellStyle name="Normal 3" xfId="102"/>
    <cellStyle name="Normal 3 2" xfId="103"/>
    <cellStyle name="Normal 3 3" xfId="104"/>
    <cellStyle name="Normal 3 4" xfId="105"/>
    <cellStyle name="Normal 30" xfId="106"/>
    <cellStyle name="Normal 31" xfId="107"/>
    <cellStyle name="Normal 4" xfId="108"/>
    <cellStyle name="Normal 49" xfId="109"/>
    <cellStyle name="Normal 5" xfId="110"/>
    <cellStyle name="Normal 50" xfId="111"/>
    <cellStyle name="Normal 51" xfId="112"/>
    <cellStyle name="Normal 52" xfId="113"/>
    <cellStyle name="Normal 53" xfId="114"/>
    <cellStyle name="Normal 54" xfId="115"/>
    <cellStyle name="Normal 6" xfId="116"/>
    <cellStyle name="Normal 7" xfId="117"/>
    <cellStyle name="Normal 8" xfId="118"/>
    <cellStyle name="Normal 9" xfId="119"/>
    <cellStyle name="Notas" xfId="120"/>
    <cellStyle name="Percent" xfId="121"/>
    <cellStyle name="Porcentaje 2" xfId="122"/>
    <cellStyle name="Porcentaje 3" xfId="123"/>
    <cellStyle name="Salida" xfId="124"/>
    <cellStyle name="Texto de advertencia" xfId="125"/>
    <cellStyle name="Texto explicativo" xfId="126"/>
    <cellStyle name="Título" xfId="127"/>
    <cellStyle name="Título 1" xfId="128"/>
    <cellStyle name="Título 2" xfId="129"/>
    <cellStyle name="Título 3" xfId="130"/>
    <cellStyle name="Título 3 2" xfId="131"/>
    <cellStyle name="Título 3 3" xfId="132"/>
    <cellStyle name="Título 4" xfId="133"/>
    <cellStyle name="Título 5" xfId="134"/>
    <cellStyle name="Total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Reservas Internacionales Netas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 relación al PIB)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2"/>
          <c:w val="0.97325"/>
          <c:h val="0.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RIN (2)'!$W$3</c:f>
              <c:strCache>
                <c:ptCount val="1"/>
                <c:pt idx="0">
                  <c:v>Oro y Divisas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(2)'!$W$18:$W$92</c:f>
              <c:numCache/>
            </c:numRef>
          </c:val>
        </c:ser>
        <c:ser>
          <c:idx val="1"/>
          <c:order val="1"/>
          <c:tx>
            <c:strRef>
              <c:f>'Graficos RIN (2)'!$X$3</c:f>
              <c:strCache>
                <c:ptCount val="1"/>
                <c:pt idx="0">
                  <c:v>Otros valores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(2)'!$X$18:$X$92</c:f>
              <c:numCache/>
            </c:numRef>
          </c:val>
        </c:ser>
        <c:ser>
          <c:idx val="2"/>
          <c:order val="2"/>
          <c:tx>
            <c:strRef>
              <c:f>'Graficos RIN (2)'!$Y$3</c:f>
              <c:strCache>
                <c:ptCount val="1"/>
                <c:pt idx="0">
                  <c:v>Derechos con Org. Internacionales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(2)'!$Y$18:$Y$92</c:f>
              <c:numCache/>
            </c:numRef>
          </c:val>
        </c:ser>
        <c:ser>
          <c:idx val="5"/>
          <c:order val="3"/>
          <c:tx>
            <c:strRef>
              <c:f>'Graficos RIN (2)'!$Z$3</c:f>
              <c:strCache>
                <c:ptCount val="1"/>
                <c:pt idx="0">
                  <c:v>Bonos, certificados de depósito y otros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(2)'!$Z$18:$Z$92</c:f>
              <c:numCache/>
            </c:numRef>
          </c:val>
        </c:ser>
        <c:overlap val="100"/>
        <c:gapWidth val="75"/>
        <c:axId val="8526322"/>
        <c:axId val="9628035"/>
      </c:barChart>
      <c:lineChart>
        <c:grouping val="standard"/>
        <c:varyColors val="0"/>
        <c:ser>
          <c:idx val="6"/>
          <c:order val="4"/>
          <c:tx>
            <c:strRef>
              <c:f>'Graficos RIN (2)'!$D$3</c:f>
              <c:strCache>
                <c:ptCount val="1"/>
                <c:pt idx="0">
                  <c:v>Reservas Internacionales Netas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'Graficos RIN (2)'!$AA$18:$AA$92</c:f>
              <c:numCache/>
            </c:numRef>
          </c:val>
          <c:smooth val="0"/>
        </c:ser>
        <c:axId val="8526322"/>
        <c:axId val="9628035"/>
      </c:lineChart>
      <c:catAx>
        <c:axId val="8526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28035"/>
        <c:crosses val="autoZero"/>
        <c:auto val="1"/>
        <c:lblOffset val="100"/>
        <c:tickLblSkip val="3"/>
        <c:noMultiLvlLbl val="0"/>
      </c:catAx>
      <c:valAx>
        <c:axId val="9628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26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73"/>
          <c:w val="0.708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Reservas Internacionales Netas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(% Activos Totales)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125"/>
          <c:w val="0.9785"/>
          <c:h val="0.67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RIN (2)'!$AB$3</c:f>
              <c:strCache>
                <c:ptCount val="1"/>
                <c:pt idx="0">
                  <c:v>Oro y Divisas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(2)'!$AB$4:$AB$92</c:f>
              <c:numCache/>
            </c:numRef>
          </c:val>
        </c:ser>
        <c:ser>
          <c:idx val="1"/>
          <c:order val="1"/>
          <c:tx>
            <c:strRef>
              <c:f>'Graficos RIN (2)'!$AC$3</c:f>
              <c:strCache>
                <c:ptCount val="1"/>
                <c:pt idx="0">
                  <c:v>Otros valores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(2)'!$AC$4:$AC$92</c:f>
              <c:numCache/>
            </c:numRef>
          </c:val>
        </c:ser>
        <c:ser>
          <c:idx val="2"/>
          <c:order val="2"/>
          <c:tx>
            <c:strRef>
              <c:f>'Graficos RIN (2)'!$AD$3</c:f>
              <c:strCache>
                <c:ptCount val="1"/>
                <c:pt idx="0">
                  <c:v>Derechos con Org. Internacionales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(2)'!$AD$4:$AD$92</c:f>
              <c:numCache/>
            </c:numRef>
          </c:val>
        </c:ser>
        <c:ser>
          <c:idx val="5"/>
          <c:order val="3"/>
          <c:tx>
            <c:strRef>
              <c:f>'Graficos RIN (2)'!$AE$3</c:f>
              <c:strCache>
                <c:ptCount val="1"/>
                <c:pt idx="0">
                  <c:v>Bonos, certificados de depósito y otros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(2)'!$AE$4:$AE$92</c:f>
              <c:numCache/>
            </c:numRef>
          </c:val>
        </c:ser>
        <c:overlap val="100"/>
        <c:gapWidth val="75"/>
        <c:axId val="19543452"/>
        <c:axId val="41673341"/>
      </c:barChart>
      <c:lineChart>
        <c:grouping val="standard"/>
        <c:varyColors val="0"/>
        <c:ser>
          <c:idx val="6"/>
          <c:order val="4"/>
          <c:tx>
            <c:strRef>
              <c:f>'Graficos RIN (2)'!$AF$3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'Graficos RIN (2)'!$AF$4:$AF$92</c:f>
              <c:numCache/>
            </c:numRef>
          </c:val>
          <c:smooth val="0"/>
        </c:ser>
        <c:axId val="19543452"/>
        <c:axId val="41673341"/>
      </c:lineChart>
      <c:catAx>
        <c:axId val="19543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73341"/>
        <c:crosses val="autoZero"/>
        <c:auto val="1"/>
        <c:lblOffset val="100"/>
        <c:tickLblSkip val="3"/>
        <c:noMultiLvlLbl val="0"/>
      </c:catAx>
      <c:valAx>
        <c:axId val="41673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43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5"/>
          <c:y val="0.84275"/>
          <c:w val="0.7117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Documentos BCCh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(% PIB)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595"/>
          <c:w val="0.9675"/>
          <c:h val="0.7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Papeles BCCh Crit 2'!$H$3</c:f>
              <c:strCache>
                <c:ptCount val="1"/>
                <c:pt idx="0">
                  <c:v>Instrumentos de Polit. Monetaria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2'!$H$4:$H$40</c:f>
              <c:numCache/>
            </c:numRef>
          </c:val>
        </c:ser>
        <c:ser>
          <c:idx val="1"/>
          <c:order val="1"/>
          <c:tx>
            <c:strRef>
              <c:f>'Graficos Papeles BCCh Crit 2'!$I$3</c:f>
              <c:strCache>
                <c:ptCount val="1"/>
                <c:pt idx="0">
                  <c:v>Otros Instrumentos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2'!$I$4:$I$40</c:f>
              <c:numCache/>
            </c:numRef>
          </c:val>
        </c:ser>
        <c:overlap val="100"/>
        <c:gapWidth val="75"/>
        <c:axId val="39515750"/>
        <c:axId val="20097431"/>
      </c:barChart>
      <c:lineChart>
        <c:grouping val="standard"/>
        <c:varyColors val="0"/>
        <c:ser>
          <c:idx val="5"/>
          <c:order val="2"/>
          <c:tx>
            <c:v>Documentos BCCh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'Graficos Papeles BCCh Crit 2'!$J$4:$J$40</c:f>
              <c:numCache/>
            </c:numRef>
          </c:val>
          <c:smooth val="0"/>
        </c:ser>
        <c:axId val="39515750"/>
        <c:axId val="20097431"/>
      </c:line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97431"/>
        <c:crosses val="autoZero"/>
        <c:auto val="1"/>
        <c:lblOffset val="100"/>
        <c:tickLblSkip val="2"/>
        <c:noMultiLvlLbl val="0"/>
      </c:catAx>
      <c:valAx>
        <c:axId val="20097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515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"/>
          <c:y val="0.925"/>
          <c:w val="0.91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Documentos BCCh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(% Pasivos Totales)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595"/>
          <c:w val="0.9675"/>
          <c:h val="0.7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Papeles BCCh Crit 2'!$K$3</c:f>
              <c:strCache>
                <c:ptCount val="1"/>
                <c:pt idx="0">
                  <c:v>Instrumentos de Polit. Monetaria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2'!$K$4:$K$40</c:f>
              <c:numCache/>
            </c:numRef>
          </c:val>
        </c:ser>
        <c:ser>
          <c:idx val="1"/>
          <c:order val="1"/>
          <c:tx>
            <c:strRef>
              <c:f>'Graficos Papeles BCCh Crit 2'!$L$3</c:f>
              <c:strCache>
                <c:ptCount val="1"/>
                <c:pt idx="0">
                  <c:v>Otros Instrumentos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2'!$L$4:$L$40</c:f>
              <c:numCache/>
            </c:numRef>
          </c:val>
        </c:ser>
        <c:overlap val="100"/>
        <c:gapWidth val="75"/>
        <c:axId val="46659152"/>
        <c:axId val="17279185"/>
      </c:barChart>
      <c:lineChart>
        <c:grouping val="standard"/>
        <c:varyColors val="0"/>
        <c:ser>
          <c:idx val="5"/>
          <c:order val="2"/>
          <c:tx>
            <c:v>Documentos BCCh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'Graficos Papeles BCCh Crit 2'!$A$4:$A$40</c:f>
              <c:numCache/>
            </c:numRef>
          </c:cat>
          <c:val>
            <c:numRef>
              <c:f>'Graficos Papeles BCCh Crit 2'!$M$4:$M$40</c:f>
              <c:numCache/>
            </c:numRef>
          </c:val>
          <c:smooth val="0"/>
        </c:ser>
        <c:axId val="46659152"/>
        <c:axId val="17279185"/>
      </c:line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79185"/>
        <c:crosses val="autoZero"/>
        <c:auto val="1"/>
        <c:lblOffset val="100"/>
        <c:tickLblSkip val="2"/>
        <c:noMultiLvlLbl val="0"/>
      </c:catAx>
      <c:valAx>
        <c:axId val="17279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59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"/>
          <c:y val="0.925"/>
          <c:w val="0.91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466725</xdr:colOff>
      <xdr:row>21</xdr:row>
      <xdr:rowOff>95250</xdr:rowOff>
    </xdr:from>
    <xdr:to>
      <xdr:col>41</xdr:col>
      <xdr:colOff>561975</xdr:colOff>
      <xdr:row>49</xdr:row>
      <xdr:rowOff>95250</xdr:rowOff>
    </xdr:to>
    <xdr:graphicFrame>
      <xdr:nvGraphicFramePr>
        <xdr:cNvPr id="1" name="3 Gráfico"/>
        <xdr:cNvGraphicFramePr/>
      </xdr:nvGraphicFramePr>
      <xdr:xfrm>
        <a:off x="33689925" y="5772150"/>
        <a:ext cx="69532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495300</xdr:colOff>
      <xdr:row>51</xdr:row>
      <xdr:rowOff>66675</xdr:rowOff>
    </xdr:from>
    <xdr:to>
      <xdr:col>41</xdr:col>
      <xdr:colOff>561975</xdr:colOff>
      <xdr:row>77</xdr:row>
      <xdr:rowOff>47625</xdr:rowOff>
    </xdr:to>
    <xdr:graphicFrame>
      <xdr:nvGraphicFramePr>
        <xdr:cNvPr id="2" name="4 Gráfico"/>
        <xdr:cNvGraphicFramePr/>
      </xdr:nvGraphicFramePr>
      <xdr:xfrm>
        <a:off x="33718500" y="11458575"/>
        <a:ext cx="692467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1</xdr:row>
      <xdr:rowOff>657225</xdr:rowOff>
    </xdr:from>
    <xdr:to>
      <xdr:col>21</xdr:col>
      <xdr:colOff>542925</xdr:colOff>
      <xdr:row>15</xdr:row>
      <xdr:rowOff>85725</xdr:rowOff>
    </xdr:to>
    <xdr:graphicFrame>
      <xdr:nvGraphicFramePr>
        <xdr:cNvPr id="1" name="4 Gráfico"/>
        <xdr:cNvGraphicFramePr/>
      </xdr:nvGraphicFramePr>
      <xdr:xfrm>
        <a:off x="15840075" y="847725"/>
        <a:ext cx="59721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676275</xdr:colOff>
      <xdr:row>16</xdr:row>
      <xdr:rowOff>9525</xdr:rowOff>
    </xdr:from>
    <xdr:to>
      <xdr:col>21</xdr:col>
      <xdr:colOff>561975</xdr:colOff>
      <xdr:row>35</xdr:row>
      <xdr:rowOff>161925</xdr:rowOff>
    </xdr:to>
    <xdr:graphicFrame>
      <xdr:nvGraphicFramePr>
        <xdr:cNvPr id="2" name="6 Gráfico"/>
        <xdr:cNvGraphicFramePr/>
      </xdr:nvGraphicFramePr>
      <xdr:xfrm>
        <a:off x="15849600" y="4733925"/>
        <a:ext cx="59817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showGridLines="0" tabSelected="1" zoomScale="70" zoomScaleNormal="70" zoomScalePageLayoutView="0" workbookViewId="0" topLeftCell="A1">
      <pane xSplit="1" ySplit="6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80" sqref="E80"/>
    </sheetView>
  </sheetViews>
  <sheetFormatPr defaultColWidth="11.421875" defaultRowHeight="15"/>
  <cols>
    <col min="1" max="1" width="9.28125" style="4" customWidth="1"/>
    <col min="2" max="2" width="22.7109375" style="3" customWidth="1"/>
    <col min="3" max="3" width="25.421875" style="3" bestFit="1" customWidth="1"/>
    <col min="4" max="5" width="25.421875" style="3" customWidth="1"/>
    <col min="6" max="6" width="23.00390625" style="3" bestFit="1" customWidth="1"/>
    <col min="7" max="9" width="24.421875" style="3" customWidth="1"/>
    <col min="10" max="10" width="22.00390625" style="3" bestFit="1" customWidth="1"/>
    <col min="11" max="11" width="20.140625" style="5" bestFit="1" customWidth="1"/>
    <col min="12" max="12" width="15.7109375" style="5" bestFit="1" customWidth="1"/>
    <col min="13" max="13" width="17.421875" style="56" bestFit="1" customWidth="1"/>
    <col min="14" max="14" width="20.7109375" style="56" bestFit="1" customWidth="1"/>
    <col min="15" max="16384" width="11.421875" style="5" customWidth="1"/>
  </cols>
  <sheetData>
    <row r="1" spans="11:14" ht="15">
      <c r="K1" s="3"/>
      <c r="L1" s="3"/>
      <c r="M1" s="55"/>
      <c r="N1" s="55"/>
    </row>
    <row r="2" spans="1:14" ht="18.75">
      <c r="A2" s="59" t="s">
        <v>50</v>
      </c>
      <c r="K2" s="3"/>
      <c r="L2" s="3"/>
      <c r="M2" s="55"/>
      <c r="N2" s="55"/>
    </row>
    <row r="3" spans="1:14" ht="18.75">
      <c r="A3" s="59" t="s">
        <v>51</v>
      </c>
      <c r="K3" s="3"/>
      <c r="L3" s="3"/>
      <c r="M3" s="55"/>
      <c r="N3" s="55"/>
    </row>
    <row r="4" spans="11:14" ht="15">
      <c r="K4" s="3"/>
      <c r="L4" s="3"/>
      <c r="M4" s="55"/>
      <c r="N4" s="55"/>
    </row>
    <row r="5" spans="11:14" ht="15">
      <c r="K5" s="3"/>
      <c r="L5" s="3"/>
      <c r="M5" s="55"/>
      <c r="N5" s="55"/>
    </row>
    <row r="6" spans="1:14" s="54" customFormat="1" ht="30">
      <c r="A6" s="9" t="s">
        <v>1</v>
      </c>
      <c r="B6" s="57" t="s">
        <v>9</v>
      </c>
      <c r="C6" s="1" t="s">
        <v>46</v>
      </c>
      <c r="D6" s="1" t="s">
        <v>27</v>
      </c>
      <c r="E6" s="1" t="s">
        <v>47</v>
      </c>
      <c r="F6" s="57" t="s">
        <v>10</v>
      </c>
      <c r="G6" s="1" t="s">
        <v>8</v>
      </c>
      <c r="H6" s="1" t="s">
        <v>28</v>
      </c>
      <c r="I6" s="1" t="s">
        <v>33</v>
      </c>
      <c r="J6" s="57" t="s">
        <v>6</v>
      </c>
      <c r="K6" s="1"/>
      <c r="M6" s="58"/>
      <c r="N6" s="58"/>
    </row>
    <row r="7" spans="1:12" ht="15">
      <c r="A7" s="4">
        <v>1926</v>
      </c>
      <c r="B7" s="53">
        <v>608.07945129</v>
      </c>
      <c r="C7" s="3">
        <f>+'Reservas Internacionales'!B7</f>
        <v>472.74680244</v>
      </c>
      <c r="D7" s="3">
        <f>+'Ptmos Sector Público'!B7</f>
        <v>8.53759964</v>
      </c>
      <c r="E7" s="3">
        <v>126.79504920999995</v>
      </c>
      <c r="F7" s="53">
        <v>515.32487055</v>
      </c>
      <c r="G7" s="3">
        <f>+'Base Monetaria'!B7</f>
        <v>289.74189998</v>
      </c>
      <c r="I7" s="3">
        <v>225.58297057</v>
      </c>
      <c r="J7" s="53">
        <v>92.75458074</v>
      </c>
      <c r="K7" s="3"/>
      <c r="L7" s="3"/>
    </row>
    <row r="8" spans="1:12" ht="15">
      <c r="A8" s="4">
        <v>1927</v>
      </c>
      <c r="B8" s="53">
        <v>528.75836149</v>
      </c>
      <c r="C8" s="3">
        <f>+'Reservas Internacionales'!B8</f>
        <v>458.12721501</v>
      </c>
      <c r="D8" s="3">
        <f>+'Ptmos Sector Público'!B8</f>
        <v>8.36553854</v>
      </c>
      <c r="E8" s="3">
        <v>62.26560793999998</v>
      </c>
      <c r="F8" s="53">
        <v>430.17178793999994</v>
      </c>
      <c r="G8" s="3">
        <f>+'Base Monetaria'!B8</f>
        <v>361.7358852699999</v>
      </c>
      <c r="I8" s="3">
        <v>68.43590267000002</v>
      </c>
      <c r="J8" s="53">
        <v>98.58657355</v>
      </c>
      <c r="K8" s="3"/>
      <c r="L8" s="3"/>
    </row>
    <row r="9" spans="1:12" ht="15">
      <c r="A9" s="4">
        <v>1928</v>
      </c>
      <c r="B9" s="53">
        <v>598.00258777</v>
      </c>
      <c r="C9" s="3">
        <f>+'Reservas Internacionales'!B9</f>
        <v>505.84955316</v>
      </c>
      <c r="D9" s="3">
        <f>+'Ptmos Sector Público'!B9</f>
        <v>1.99729238</v>
      </c>
      <c r="E9" s="3">
        <v>90.15574222999996</v>
      </c>
      <c r="F9" s="53">
        <v>492.72750064</v>
      </c>
      <c r="G9" s="3">
        <f>+'Base Monetaria'!B9</f>
        <v>439.48723598</v>
      </c>
      <c r="I9" s="3">
        <v>53.24026466000004</v>
      </c>
      <c r="J9" s="53">
        <v>105.27508713</v>
      </c>
      <c r="K9" s="3"/>
      <c r="L9" s="3"/>
    </row>
    <row r="10" spans="1:12" ht="15">
      <c r="A10" s="4">
        <v>1929</v>
      </c>
      <c r="B10" s="53">
        <v>614.4838662300001</v>
      </c>
      <c r="C10" s="3">
        <f>+'Reservas Internacionales'!B10</f>
        <v>447.72319677999997</v>
      </c>
      <c r="D10" s="3">
        <f>+'Ptmos Sector Público'!B10</f>
        <v>0</v>
      </c>
      <c r="E10" s="3">
        <v>166.76066945000014</v>
      </c>
      <c r="F10" s="53">
        <v>502.3954755900001</v>
      </c>
      <c r="G10" s="3">
        <f>+'Base Monetaria'!B10</f>
        <v>484.72963812999996</v>
      </c>
      <c r="I10" s="3">
        <v>17.665837460000148</v>
      </c>
      <c r="J10" s="53">
        <v>112.08839064</v>
      </c>
      <c r="K10" s="3"/>
      <c r="L10" s="3"/>
    </row>
    <row r="11" spans="1:12" ht="15">
      <c r="A11" s="4">
        <v>1930</v>
      </c>
      <c r="B11" s="53">
        <v>559.5551518999999</v>
      </c>
      <c r="C11" s="3">
        <f>+'Reservas Internacionales'!B11</f>
        <v>340.78872376</v>
      </c>
      <c r="D11" s="3">
        <f>+'Ptmos Sector Público'!B11</f>
        <v>0</v>
      </c>
      <c r="E11" s="3">
        <v>218.76642813999996</v>
      </c>
      <c r="F11" s="53">
        <v>446.70257932999993</v>
      </c>
      <c r="G11" s="3">
        <f>+'Base Monetaria'!B11</f>
        <v>387.07460197000006</v>
      </c>
      <c r="I11" s="3">
        <v>59.627977359999875</v>
      </c>
      <c r="J11" s="53">
        <v>112.85257256999999</v>
      </c>
      <c r="K11" s="3"/>
      <c r="L11" s="3"/>
    </row>
    <row r="12" spans="1:12" ht="15">
      <c r="A12" s="4">
        <v>1931</v>
      </c>
      <c r="B12" s="53">
        <v>544.79094018</v>
      </c>
      <c r="C12" s="3">
        <f>+'Reservas Internacionales'!B12</f>
        <v>194.54880809</v>
      </c>
      <c r="D12" s="3">
        <f>+'Ptmos Sector Público'!B12</f>
        <v>130.35577177</v>
      </c>
      <c r="E12" s="3">
        <v>219.88636032000005</v>
      </c>
      <c r="F12" s="53">
        <v>427.45423881</v>
      </c>
      <c r="G12" s="3">
        <f>+'Base Monetaria'!B12</f>
        <v>405.38665761</v>
      </c>
      <c r="I12" s="3">
        <v>22.067581200000006</v>
      </c>
      <c r="J12" s="53">
        <v>117.33670137</v>
      </c>
      <c r="K12" s="3"/>
      <c r="L12" s="3"/>
    </row>
    <row r="13" spans="1:12" ht="15">
      <c r="A13" s="4">
        <v>1932</v>
      </c>
      <c r="B13" s="53">
        <v>963.2878712199999</v>
      </c>
      <c r="C13" s="3">
        <f>+'Reservas Internacionales'!B13</f>
        <v>153.58202369</v>
      </c>
      <c r="D13" s="3">
        <f>+'Ptmos Sector Público'!B13</f>
        <v>189.65577177000003</v>
      </c>
      <c r="E13" s="3">
        <v>620.0500757599999</v>
      </c>
      <c r="F13" s="53">
        <v>843.8233170199999</v>
      </c>
      <c r="G13" s="3">
        <f>+'Base Monetaria'!B13</f>
        <v>800.81815948</v>
      </c>
      <c r="I13" s="3">
        <v>43.005157539999914</v>
      </c>
      <c r="J13" s="53">
        <v>119.46455420000001</v>
      </c>
      <c r="K13" s="3"/>
      <c r="L13" s="3"/>
    </row>
    <row r="14" spans="1:12" ht="15">
      <c r="A14" s="4">
        <v>1933</v>
      </c>
      <c r="B14" s="53">
        <v>1005.47377742</v>
      </c>
      <c r="C14" s="3">
        <f>+'Reservas Internacionales'!B14</f>
        <v>167.02528556000001</v>
      </c>
      <c r="D14" s="3">
        <f>+'Ptmos Sector Público'!B14</f>
        <v>682.25637059</v>
      </c>
      <c r="E14" s="3">
        <v>156.19212127000003</v>
      </c>
      <c r="F14" s="53">
        <v>880.84314902</v>
      </c>
      <c r="G14" s="3">
        <f>+'Base Monetaria'!B14</f>
        <v>860.0250676200001</v>
      </c>
      <c r="I14" s="3">
        <v>20.818081399999983</v>
      </c>
      <c r="J14" s="53">
        <v>124.63062839999999</v>
      </c>
      <c r="K14" s="3"/>
      <c r="L14" s="3"/>
    </row>
    <row r="15" spans="1:12" ht="15">
      <c r="A15" s="4">
        <v>1934</v>
      </c>
      <c r="B15" s="53">
        <v>992.8307957</v>
      </c>
      <c r="C15" s="3">
        <f>+'Reservas Internacionales'!B15</f>
        <v>141.81653061</v>
      </c>
      <c r="D15" s="3">
        <f>+'Ptmos Sector Público'!B15</f>
        <v>713.61558814</v>
      </c>
      <c r="E15" s="3">
        <v>137.39867694999998</v>
      </c>
      <c r="F15" s="53">
        <v>886.61080361</v>
      </c>
      <c r="G15" s="3">
        <f>+'Base Monetaria'!B15</f>
        <v>855.7789890700001</v>
      </c>
      <c r="I15" s="3">
        <v>30.83181453999987</v>
      </c>
      <c r="J15" s="53">
        <v>106.21999209</v>
      </c>
      <c r="K15" s="3"/>
      <c r="L15" s="3"/>
    </row>
    <row r="16" spans="1:12" ht="15">
      <c r="A16" s="4">
        <v>1935</v>
      </c>
      <c r="B16" s="53">
        <v>989.7720218000001</v>
      </c>
      <c r="C16" s="3">
        <f>+'Reservas Internacionales'!B16</f>
        <v>142.44164358</v>
      </c>
      <c r="D16" s="3">
        <f>+'Ptmos Sector Público'!B16</f>
        <v>706.00341853</v>
      </c>
      <c r="E16" s="3">
        <v>141.32695969000008</v>
      </c>
      <c r="F16" s="53">
        <v>879.5211910200001</v>
      </c>
      <c r="G16" s="3">
        <f>+'Base Monetaria'!B16</f>
        <v>859.38062544</v>
      </c>
      <c r="I16" s="3">
        <v>20.140565580000043</v>
      </c>
      <c r="J16" s="53">
        <v>110.25083078</v>
      </c>
      <c r="K16" s="3"/>
      <c r="L16" s="3"/>
    </row>
    <row r="17" spans="1:12" ht="15">
      <c r="A17" s="4">
        <v>1936</v>
      </c>
      <c r="B17" s="53">
        <v>1074.2333139000002</v>
      </c>
      <c r="C17" s="3">
        <f>+'Reservas Internacionales'!B17</f>
        <v>143.17591216</v>
      </c>
      <c r="D17" s="3">
        <f>+'Ptmos Sector Público'!B17</f>
        <v>758.71110401</v>
      </c>
      <c r="E17" s="3">
        <v>172.34629773000017</v>
      </c>
      <c r="F17" s="53">
        <v>969.5113550100002</v>
      </c>
      <c r="G17" s="3">
        <f>+'Base Monetaria'!B17</f>
        <v>936.4873413300002</v>
      </c>
      <c r="I17" s="3">
        <v>33.02401368000005</v>
      </c>
      <c r="J17" s="53">
        <v>104.72195889</v>
      </c>
      <c r="K17" s="3"/>
      <c r="L17" s="3"/>
    </row>
    <row r="18" spans="1:12" ht="15">
      <c r="A18" s="4">
        <v>1937</v>
      </c>
      <c r="B18" s="53">
        <v>1118.61472516</v>
      </c>
      <c r="C18" s="3">
        <f>+'Reservas Internacionales'!B18</f>
        <v>144.19598116</v>
      </c>
      <c r="D18" s="3">
        <f>+'Ptmos Sector Público'!B18</f>
        <v>858.8828140399999</v>
      </c>
      <c r="E18" s="3">
        <v>115.5359299600002</v>
      </c>
      <c r="F18" s="53">
        <v>990.92026278</v>
      </c>
      <c r="G18" s="3">
        <f>+'Base Monetaria'!B18</f>
        <v>964.0468243099999</v>
      </c>
      <c r="I18" s="3">
        <v>26.87343847000011</v>
      </c>
      <c r="J18" s="53">
        <v>127.69446237999999</v>
      </c>
      <c r="K18" s="3"/>
      <c r="L18" s="3"/>
    </row>
    <row r="19" spans="1:12" ht="15">
      <c r="A19" s="4">
        <v>1938</v>
      </c>
      <c r="B19" s="53">
        <v>1220.0788788199998</v>
      </c>
      <c r="C19" s="3">
        <f>+'Reservas Internacionales'!B19</f>
        <v>145.15532522</v>
      </c>
      <c r="D19" s="3">
        <f>+'Ptmos Sector Público'!B19</f>
        <v>857.3473485400001</v>
      </c>
      <c r="E19" s="3">
        <v>217.57620505999955</v>
      </c>
      <c r="F19" s="53">
        <v>1080.6033582399998</v>
      </c>
      <c r="G19" s="3">
        <f>+'Base Monetaria'!B19</f>
        <v>1045.88019963</v>
      </c>
      <c r="I19" s="3">
        <v>34.7231586099997</v>
      </c>
      <c r="J19" s="53">
        <v>139.47552058</v>
      </c>
      <c r="K19" s="3"/>
      <c r="L19" s="3"/>
    </row>
    <row r="20" spans="1:12" ht="15">
      <c r="A20" s="4">
        <v>1939</v>
      </c>
      <c r="B20" s="53">
        <v>1352.35153033</v>
      </c>
      <c r="C20" s="3">
        <f>+'Reservas Internacionales'!B20</f>
        <v>145.95836799</v>
      </c>
      <c r="D20" s="3">
        <f>+'Ptmos Sector Público'!B20</f>
        <v>911.92416115</v>
      </c>
      <c r="E20" s="3">
        <v>294.4690011900001</v>
      </c>
      <c r="F20" s="53">
        <v>1203.85351405</v>
      </c>
      <c r="G20" s="3">
        <f>+'Base Monetaria'!B20</f>
        <v>1168.46411035</v>
      </c>
      <c r="I20" s="3">
        <v>35.3894037</v>
      </c>
      <c r="J20" s="53">
        <v>148.49801628</v>
      </c>
      <c r="K20" s="3"/>
      <c r="L20" s="3"/>
    </row>
    <row r="21" spans="1:12" ht="15">
      <c r="A21" s="4">
        <v>1940</v>
      </c>
      <c r="B21" s="53">
        <v>1587.61169234</v>
      </c>
      <c r="C21" s="3">
        <f>+'Reservas Internacionales'!B21</f>
        <v>146.92608664</v>
      </c>
      <c r="D21" s="3">
        <f>+'Ptmos Sector Público'!B21</f>
        <v>900.79241215</v>
      </c>
      <c r="E21" s="3">
        <v>539.89319355</v>
      </c>
      <c r="F21" s="53">
        <v>1428.94289226</v>
      </c>
      <c r="G21" s="3">
        <f>+'Base Monetaria'!B21</f>
        <v>1361.35054373</v>
      </c>
      <c r="I21" s="3">
        <v>67.59234852999998</v>
      </c>
      <c r="J21" s="53">
        <v>158.66880007999998</v>
      </c>
      <c r="K21" s="3"/>
      <c r="L21" s="3"/>
    </row>
    <row r="22" spans="1:12" ht="15">
      <c r="A22" s="4">
        <v>1941</v>
      </c>
      <c r="B22" s="53">
        <v>1998.6226591099999</v>
      </c>
      <c r="C22" s="3">
        <f>+'Reservas Internacionales'!B22</f>
        <v>148.00722245000003</v>
      </c>
      <c r="D22" s="3">
        <f>+'Ptmos Sector Público'!B22</f>
        <v>1004.7571746100001</v>
      </c>
      <c r="E22" s="3">
        <v>845.8582620499998</v>
      </c>
      <c r="F22" s="53">
        <v>1827.2804122199998</v>
      </c>
      <c r="G22" s="3">
        <f>+'Base Monetaria'!B22</f>
        <v>1732.0584158200002</v>
      </c>
      <c r="I22" s="3">
        <v>95.22199639999963</v>
      </c>
      <c r="J22" s="53">
        <v>171.34224688999998</v>
      </c>
      <c r="K22" s="3"/>
      <c r="L22" s="3"/>
    </row>
    <row r="23" spans="1:12" ht="15">
      <c r="A23" s="4">
        <v>1942</v>
      </c>
      <c r="B23" s="53">
        <v>2696.8599817199993</v>
      </c>
      <c r="C23" s="3">
        <f>+'Reservas Internacionales'!B23</f>
        <v>272.50470281</v>
      </c>
      <c r="D23" s="3">
        <f>+'Ptmos Sector Público'!B23</f>
        <v>1135.3261215</v>
      </c>
      <c r="E23" s="3">
        <v>1289.0291574099995</v>
      </c>
      <c r="F23" s="53">
        <v>2502.719808539999</v>
      </c>
      <c r="G23" s="3">
        <f>+'Base Monetaria'!B23</f>
        <v>2175.6706390900003</v>
      </c>
      <c r="I23" s="3">
        <v>327.0491694499988</v>
      </c>
      <c r="J23" s="53">
        <v>194.14017318</v>
      </c>
      <c r="K23" s="3"/>
      <c r="L23" s="3"/>
    </row>
    <row r="24" spans="1:12" ht="15">
      <c r="A24" s="4">
        <v>1943</v>
      </c>
      <c r="B24" s="53">
        <v>3324.24324665</v>
      </c>
      <c r="C24" s="3">
        <f>+'Reservas Internacionales'!B24</f>
        <v>335.90665524</v>
      </c>
      <c r="D24" s="3">
        <f>+'Ptmos Sector Público'!B24</f>
        <v>1206.65355056</v>
      </c>
      <c r="E24" s="3">
        <v>1781.68304085</v>
      </c>
      <c r="F24" s="53">
        <v>3111.01732204</v>
      </c>
      <c r="G24" s="3">
        <f>+'Base Monetaria'!B24</f>
        <v>2698.2345991599996</v>
      </c>
      <c r="I24" s="3">
        <v>412.7827228800006</v>
      </c>
      <c r="J24" s="53">
        <v>213.22592461</v>
      </c>
      <c r="K24" s="3"/>
      <c r="L24" s="3"/>
    </row>
    <row r="25" spans="1:12" ht="15">
      <c r="A25" s="4">
        <v>1944</v>
      </c>
      <c r="B25" s="53">
        <v>3940.2641252</v>
      </c>
      <c r="C25" s="3">
        <f>+'Reservas Internacionales'!B25</f>
        <v>397.95165390000005</v>
      </c>
      <c r="D25" s="3">
        <f>+'Ptmos Sector Público'!B25</f>
        <v>1222.6745691800002</v>
      </c>
      <c r="E25" s="3">
        <v>2319.6379021199996</v>
      </c>
      <c r="F25" s="53">
        <v>3694.25392443</v>
      </c>
      <c r="G25" s="3">
        <f>+'Base Monetaria'!B25</f>
        <v>3058.56593584</v>
      </c>
      <c r="I25" s="3">
        <v>635.6879885900003</v>
      </c>
      <c r="J25" s="53">
        <v>246.01020076999995</v>
      </c>
      <c r="K25" s="3"/>
      <c r="L25" s="3"/>
    </row>
    <row r="26" spans="1:12" ht="15">
      <c r="A26" s="4">
        <v>1945</v>
      </c>
      <c r="B26" s="53">
        <v>4364.80556774</v>
      </c>
      <c r="C26" s="3">
        <f>+'Reservas Internacionales'!B26</f>
        <v>474.44740684000004</v>
      </c>
      <c r="D26" s="3">
        <f>+'Ptmos Sector Público'!B26</f>
        <v>933.2130237199999</v>
      </c>
      <c r="E26" s="3">
        <v>2957.14513718</v>
      </c>
      <c r="F26" s="53">
        <v>4110.24938886</v>
      </c>
      <c r="G26" s="3">
        <f>+'Base Monetaria'!B26</f>
        <v>3443.5752124900005</v>
      </c>
      <c r="I26" s="3">
        <v>666.6741763699997</v>
      </c>
      <c r="J26" s="53">
        <v>254.55617887999998</v>
      </c>
      <c r="K26" s="3"/>
      <c r="L26" s="3"/>
    </row>
    <row r="27" spans="1:12" ht="15">
      <c r="A27" s="4">
        <v>1946</v>
      </c>
      <c r="B27" s="53">
        <v>5041.084411</v>
      </c>
      <c r="C27" s="3">
        <f>+'Reservas Internacionales'!B27</f>
        <v>318.26490283</v>
      </c>
      <c r="D27" s="3">
        <f>+'Ptmos Sector Público'!B27</f>
        <v>1119.2118985900001</v>
      </c>
      <c r="E27" s="3">
        <v>3603.6076095799995</v>
      </c>
      <c r="F27" s="53">
        <v>4768.522142</v>
      </c>
      <c r="G27" s="3">
        <f>+'Base Monetaria'!B27</f>
        <v>4140.36563941</v>
      </c>
      <c r="I27" s="3">
        <v>628.15650259</v>
      </c>
      <c r="J27" s="53">
        <v>272.56226899999996</v>
      </c>
      <c r="K27" s="3"/>
      <c r="L27" s="3"/>
    </row>
    <row r="28" spans="1:12" ht="15">
      <c r="A28" s="4">
        <v>1947</v>
      </c>
      <c r="B28" s="53">
        <v>7615.485</v>
      </c>
      <c r="C28" s="3">
        <f>+'Reservas Internacionales'!B28</f>
        <v>295.42804503</v>
      </c>
      <c r="D28" s="3">
        <f>+'Ptmos Sector Público'!B28</f>
        <v>1178.3466153399997</v>
      </c>
      <c r="E28" s="3">
        <v>6141.71033963</v>
      </c>
      <c r="F28" s="53">
        <v>7331.664427</v>
      </c>
      <c r="G28" s="3">
        <f>+'Base Monetaria'!B28</f>
        <v>5147</v>
      </c>
      <c r="I28" s="3">
        <v>2184.6644269999997</v>
      </c>
      <c r="J28" s="53">
        <v>283.82057299999997</v>
      </c>
      <c r="K28" s="3"/>
      <c r="L28" s="3"/>
    </row>
    <row r="29" spans="1:12" ht="15">
      <c r="A29" s="4">
        <v>1948</v>
      </c>
      <c r="B29" s="53">
        <v>10103.172</v>
      </c>
      <c r="C29" s="3">
        <f>+'Reservas Internacionales'!B29</f>
        <v>2185.57</v>
      </c>
      <c r="D29" s="3">
        <f>+'Ptmos Sector Público'!B29</f>
        <v>1446.6609999999998</v>
      </c>
      <c r="E29" s="3">
        <v>6470.941000000001</v>
      </c>
      <c r="F29" s="53">
        <v>9804.359</v>
      </c>
      <c r="G29" s="3">
        <f>+'Base Monetaria'!B29</f>
        <v>6097</v>
      </c>
      <c r="I29" s="3">
        <v>3707.3590000000004</v>
      </c>
      <c r="J29" s="53">
        <v>298.813</v>
      </c>
      <c r="K29" s="3"/>
      <c r="L29" s="3"/>
    </row>
    <row r="30" spans="1:12" ht="15">
      <c r="A30" s="4">
        <v>1949</v>
      </c>
      <c r="B30" s="53">
        <v>11294.666</v>
      </c>
      <c r="C30" s="3">
        <f>+'Reservas Internacionales'!B30</f>
        <v>1873.139</v>
      </c>
      <c r="D30" s="3">
        <f>+'Ptmos Sector Público'!B30</f>
        <v>1949.513</v>
      </c>
      <c r="E30" s="3">
        <v>7472.014</v>
      </c>
      <c r="F30" s="53">
        <v>10922.96508</v>
      </c>
      <c r="G30" s="3">
        <f>+'Base Monetaria'!B30</f>
        <v>7521</v>
      </c>
      <c r="I30" s="3">
        <v>3401.96508</v>
      </c>
      <c r="J30" s="53">
        <v>371.70092</v>
      </c>
      <c r="K30" s="3"/>
      <c r="L30" s="3"/>
    </row>
    <row r="31" spans="1:12" ht="15">
      <c r="A31" s="4">
        <v>1950</v>
      </c>
      <c r="B31" s="53">
        <v>13700.751</v>
      </c>
      <c r="C31" s="3">
        <f>+'Reservas Internacionales'!B31</f>
        <v>2201.5</v>
      </c>
      <c r="D31" s="3">
        <f>+'Ptmos Sector Público'!B31</f>
        <v>2465.684</v>
      </c>
      <c r="E31" s="3">
        <v>9033.567</v>
      </c>
      <c r="F31" s="53">
        <v>13299.722</v>
      </c>
      <c r="G31" s="3">
        <f>+'Base Monetaria'!B31</f>
        <v>8699</v>
      </c>
      <c r="I31" s="3">
        <v>4600.722</v>
      </c>
      <c r="J31" s="53">
        <v>401.029</v>
      </c>
      <c r="K31" s="3"/>
      <c r="L31" s="3"/>
    </row>
    <row r="32" spans="1:12" ht="15">
      <c r="A32" s="4">
        <v>1951</v>
      </c>
      <c r="B32" s="53">
        <v>17271.810999999998</v>
      </c>
      <c r="C32" s="3">
        <f>+'Reservas Internacionales'!B32</f>
        <v>2282.8740000000003</v>
      </c>
      <c r="D32" s="3">
        <f>+'Ptmos Sector Público'!B32</f>
        <v>4144.131</v>
      </c>
      <c r="E32" s="3">
        <v>10844.805999999997</v>
      </c>
      <c r="F32" s="53">
        <v>16923.803999999996</v>
      </c>
      <c r="G32" s="3">
        <f>+'Base Monetaria'!B32</f>
        <v>10918</v>
      </c>
      <c r="I32" s="3">
        <v>6005.803999999996</v>
      </c>
      <c r="J32" s="53">
        <v>348.007</v>
      </c>
      <c r="K32" s="3"/>
      <c r="L32" s="3"/>
    </row>
    <row r="33" spans="1:12" ht="15">
      <c r="A33" s="4">
        <v>1952</v>
      </c>
      <c r="B33" s="53">
        <v>22799.429</v>
      </c>
      <c r="C33" s="3">
        <f>+'Reservas Internacionales'!B33</f>
        <v>2736.283</v>
      </c>
      <c r="D33" s="3">
        <f>+'Ptmos Sector Público'!B33</f>
        <v>8969.496000000001</v>
      </c>
      <c r="E33" s="3">
        <v>11093.65</v>
      </c>
      <c r="F33" s="53">
        <v>22274.618</v>
      </c>
      <c r="G33" s="3">
        <f>+'Base Monetaria'!B33</f>
        <v>15513</v>
      </c>
      <c r="I33" s="3">
        <v>6761.617999999999</v>
      </c>
      <c r="J33" s="53">
        <v>524.811</v>
      </c>
      <c r="K33" s="3"/>
      <c r="L33" s="3"/>
    </row>
    <row r="34" spans="1:12" ht="15">
      <c r="A34" s="4">
        <v>1953</v>
      </c>
      <c r="B34" s="53">
        <v>46066.07000000001</v>
      </c>
      <c r="C34" s="3">
        <f>+'Reservas Internacionales'!B34</f>
        <v>9711.613</v>
      </c>
      <c r="D34" s="3">
        <f>+'Ptmos Sector Público'!B34</f>
        <v>8480.895999999999</v>
      </c>
      <c r="E34" s="3">
        <v>27873.56100000001</v>
      </c>
      <c r="F34" s="53">
        <v>45338.93089000001</v>
      </c>
      <c r="G34" s="3">
        <f>+'Base Monetaria'!B34</f>
        <v>23681</v>
      </c>
      <c r="I34" s="3">
        <v>21657.93089000001</v>
      </c>
      <c r="J34" s="53">
        <v>727.13911</v>
      </c>
      <c r="K34" s="3"/>
      <c r="L34" s="3"/>
    </row>
    <row r="35" spans="1:12" ht="15">
      <c r="A35" s="4">
        <v>1954</v>
      </c>
      <c r="B35" s="53">
        <v>64382.176999999996</v>
      </c>
      <c r="C35" s="3">
        <f>+'Reservas Internacionales'!B35</f>
        <v>10221.665</v>
      </c>
      <c r="D35" s="3">
        <f>+'Ptmos Sector Público'!B35</f>
        <v>16868.874</v>
      </c>
      <c r="E35" s="3">
        <v>37291.63799999999</v>
      </c>
      <c r="F35" s="53">
        <v>63534.409</v>
      </c>
      <c r="G35" s="3">
        <f>+'Base Monetaria'!B35</f>
        <v>32891</v>
      </c>
      <c r="I35" s="3">
        <v>30643.409</v>
      </c>
      <c r="J35" s="53">
        <v>847.7679999999999</v>
      </c>
      <c r="K35" s="3"/>
      <c r="L35" s="3"/>
    </row>
    <row r="36" spans="1:12" ht="15">
      <c r="A36" s="4">
        <v>1955</v>
      </c>
      <c r="B36" s="53">
        <v>86619.34599999999</v>
      </c>
      <c r="C36" s="3">
        <f>+'Reservas Internacionales'!B36</f>
        <v>4530.382</v>
      </c>
      <c r="D36" s="3">
        <f>+'Ptmos Sector Público'!B36</f>
        <v>23750.513000000003</v>
      </c>
      <c r="E36" s="3">
        <v>58338.45099999999</v>
      </c>
      <c r="F36" s="53">
        <v>85443.071</v>
      </c>
      <c r="G36" s="3">
        <f>+'Base Monetaria'!B36</f>
        <v>53048</v>
      </c>
      <c r="I36" s="3">
        <v>32395.070999999996</v>
      </c>
      <c r="J36" s="53">
        <v>1176.2749999999999</v>
      </c>
      <c r="K36" s="3"/>
      <c r="L36" s="3"/>
    </row>
    <row r="37" spans="1:12" ht="15">
      <c r="A37" s="4">
        <v>1956</v>
      </c>
      <c r="B37" s="53">
        <v>130974.76499999998</v>
      </c>
      <c r="C37" s="3">
        <f>+'Reservas Internacionales'!B37</f>
        <v>18068.509</v>
      </c>
      <c r="D37" s="3">
        <f>+'Ptmos Sector Público'!B37</f>
        <v>30128.816</v>
      </c>
      <c r="E37" s="3">
        <v>82777.44</v>
      </c>
      <c r="F37" s="53">
        <v>128165.43199999999</v>
      </c>
      <c r="G37" s="3">
        <f>+'Base Monetaria'!B37</f>
        <v>75233</v>
      </c>
      <c r="I37" s="3">
        <v>52932.431999999986</v>
      </c>
      <c r="J37" s="53">
        <v>2809.333</v>
      </c>
      <c r="K37" s="3"/>
      <c r="L37" s="3"/>
    </row>
    <row r="38" spans="1:12" ht="15">
      <c r="A38" s="4">
        <v>1957</v>
      </c>
      <c r="B38" s="53">
        <v>160531.9</v>
      </c>
      <c r="C38" s="3">
        <f>+'Reservas Internacionales'!B38</f>
        <v>7918.5740000000005</v>
      </c>
      <c r="D38" s="3">
        <f>+'Ptmos Sector Público'!B38</f>
        <v>43542.342000000004</v>
      </c>
      <c r="E38" s="3">
        <v>109070.984</v>
      </c>
      <c r="F38" s="53">
        <v>156202.956</v>
      </c>
      <c r="G38" s="3">
        <f>+'Base Monetaria'!B38</f>
        <v>94709</v>
      </c>
      <c r="I38" s="3">
        <v>61493.956000000006</v>
      </c>
      <c r="J38" s="53">
        <v>4328.9439999999995</v>
      </c>
      <c r="K38" s="3"/>
      <c r="L38" s="3"/>
    </row>
    <row r="39" spans="1:12" ht="15">
      <c r="A39" s="4">
        <v>1958</v>
      </c>
      <c r="B39" s="53">
        <v>210749.511</v>
      </c>
      <c r="C39" s="3">
        <f>+'Reservas Internacionales'!B39</f>
        <v>9272.171</v>
      </c>
      <c r="D39" s="3">
        <f>+'Ptmos Sector Público'!B39</f>
        <v>61568.409</v>
      </c>
      <c r="E39" s="3">
        <v>139908.93099999998</v>
      </c>
      <c r="F39" s="53">
        <v>203621.446</v>
      </c>
      <c r="G39" s="3">
        <f>+'Base Monetaria'!B39</f>
        <v>127321</v>
      </c>
      <c r="I39" s="3">
        <v>76300.446</v>
      </c>
      <c r="J39" s="53">
        <v>7128.0650000000005</v>
      </c>
      <c r="K39" s="3"/>
      <c r="L39" s="3"/>
    </row>
    <row r="40" spans="1:12" ht="15">
      <c r="A40" s="4">
        <v>1959</v>
      </c>
      <c r="B40" s="53">
        <v>732858.181</v>
      </c>
      <c r="C40" s="3">
        <f>+'Reservas Internacionales'!B40</f>
        <v>154163.7643</v>
      </c>
      <c r="D40" s="3">
        <f>+'Ptmos Sector Público'!B40</f>
        <v>120428.966</v>
      </c>
      <c r="E40" s="3">
        <v>458265.4506999999</v>
      </c>
      <c r="F40" s="53">
        <v>720036.853</v>
      </c>
      <c r="G40" s="3">
        <f>+'Base Monetaria'!B40</f>
        <v>184220</v>
      </c>
      <c r="I40" s="3">
        <v>535816.853</v>
      </c>
      <c r="J40" s="53">
        <v>12821.328</v>
      </c>
      <c r="K40" s="3"/>
      <c r="L40" s="3"/>
    </row>
    <row r="41" spans="1:12" ht="15">
      <c r="A41" s="4">
        <v>1960</v>
      </c>
      <c r="B41" s="53">
        <v>592645.5</v>
      </c>
      <c r="C41" s="3">
        <f>+'Reservas Internacionales'!B41</f>
        <v>134722.19999999998</v>
      </c>
      <c r="D41" s="3">
        <f>+'Ptmos Sector Público'!B41</f>
        <v>218046.619</v>
      </c>
      <c r="E41" s="3">
        <v>239876.68100000004</v>
      </c>
      <c r="F41" s="53">
        <v>578975.5</v>
      </c>
      <c r="G41" s="3">
        <f>+'Base Monetaria'!B41</f>
        <v>269515.5</v>
      </c>
      <c r="I41" s="3">
        <v>309460</v>
      </c>
      <c r="J41" s="53">
        <v>13670</v>
      </c>
      <c r="K41" s="3"/>
      <c r="L41" s="3"/>
    </row>
    <row r="42" spans="1:12" ht="15">
      <c r="A42" s="4">
        <v>1961</v>
      </c>
      <c r="B42" s="53">
        <v>710000</v>
      </c>
      <c r="C42" s="3">
        <f>+'Reservas Internacionales'!B42</f>
        <v>99882</v>
      </c>
      <c r="D42" s="3">
        <f>+'Ptmos Sector Público'!B42</f>
        <v>319384.7</v>
      </c>
      <c r="E42" s="3">
        <v>290733.3</v>
      </c>
      <c r="F42" s="53">
        <v>695786</v>
      </c>
      <c r="G42" s="3">
        <f>+'Base Monetaria'!B42</f>
        <v>296333.2</v>
      </c>
      <c r="I42" s="3">
        <v>399452.8</v>
      </c>
      <c r="J42" s="53">
        <v>14214</v>
      </c>
      <c r="K42" s="3"/>
      <c r="L42" s="3"/>
    </row>
    <row r="43" spans="1:12" ht="15">
      <c r="A43" s="4">
        <v>1962</v>
      </c>
      <c r="B43" s="53">
        <v>1343725.84</v>
      </c>
      <c r="C43" s="3">
        <f>+'Reservas Internacionales'!B43</f>
        <v>209804.61600000004</v>
      </c>
      <c r="D43" s="3">
        <f>+'Ptmos Sector Público'!B43</f>
        <v>660870.4</v>
      </c>
      <c r="E43" s="3">
        <v>473050.8239999999</v>
      </c>
      <c r="F43" s="53">
        <v>1328503.74</v>
      </c>
      <c r="G43" s="3">
        <f>+'Base Monetaria'!B43</f>
        <v>516576.1</v>
      </c>
      <c r="I43" s="3">
        <v>811927.64</v>
      </c>
      <c r="J43" s="53">
        <v>15222.099999999999</v>
      </c>
      <c r="K43" s="3"/>
      <c r="L43" s="3"/>
    </row>
    <row r="44" spans="1:12" ht="15">
      <c r="A44" s="4">
        <v>1963</v>
      </c>
      <c r="B44" s="53">
        <v>1577659.4</v>
      </c>
      <c r="C44" s="3">
        <f>+'Reservas Internacionales'!B44</f>
        <v>264401.19999999995</v>
      </c>
      <c r="D44" s="3">
        <f>+'Ptmos Sector Público'!B44</f>
        <v>941679</v>
      </c>
      <c r="E44" s="3">
        <v>371579.19999999995</v>
      </c>
      <c r="F44" s="53">
        <v>1558794.7999999998</v>
      </c>
      <c r="G44" s="3">
        <f>+'Base Monetaria'!B44</f>
        <v>556866.6000000001</v>
      </c>
      <c r="I44" s="3">
        <v>1001928.1999999997</v>
      </c>
      <c r="J44" s="53">
        <v>18864.600000000002</v>
      </c>
      <c r="K44" s="3"/>
      <c r="L44" s="3"/>
    </row>
    <row r="45" spans="1:12" ht="15">
      <c r="A45" s="4">
        <v>1964</v>
      </c>
      <c r="B45" s="53">
        <v>2347696.27</v>
      </c>
      <c r="C45" s="3">
        <f>+'Reservas Internacionales'!B45</f>
        <v>296984.33999999997</v>
      </c>
      <c r="D45" s="3">
        <f>+'Ptmos Sector Público'!B45</f>
        <v>1411826.5</v>
      </c>
      <c r="E45" s="3">
        <v>638885.4300000002</v>
      </c>
      <c r="F45" s="53">
        <v>2325607.97</v>
      </c>
      <c r="G45" s="3">
        <f>+'Base Monetaria'!B45</f>
        <v>916480</v>
      </c>
      <c r="I45" s="3">
        <v>1409127.9700000002</v>
      </c>
      <c r="J45" s="53">
        <v>22088.3</v>
      </c>
      <c r="K45" s="3"/>
      <c r="L45" s="3"/>
    </row>
    <row r="46" spans="1:12" ht="15">
      <c r="A46" s="4">
        <v>1965</v>
      </c>
      <c r="B46" s="53">
        <v>3374824.2619999996</v>
      </c>
      <c r="C46" s="3">
        <f>+'Reservas Internacionales'!B46</f>
        <v>549441.0800000001</v>
      </c>
      <c r="D46" s="3">
        <f>+'Ptmos Sector Público'!B46</f>
        <v>2085991.6</v>
      </c>
      <c r="E46" s="3">
        <v>739391.5819999995</v>
      </c>
      <c r="F46" s="53">
        <v>3347910.462</v>
      </c>
      <c r="G46" s="3">
        <f>+'Base Monetaria'!B46</f>
        <v>1290277.9</v>
      </c>
      <c r="I46" s="3">
        <v>2057632.562</v>
      </c>
      <c r="J46" s="53">
        <v>26913.8</v>
      </c>
      <c r="K46" s="3"/>
      <c r="L46" s="3"/>
    </row>
    <row r="47" spans="1:12" ht="15">
      <c r="A47" s="4">
        <v>1966</v>
      </c>
      <c r="B47" s="53">
        <v>4811764.2</v>
      </c>
      <c r="C47" s="3">
        <f>+'Reservas Internacionales'!B47</f>
        <v>840037.9</v>
      </c>
      <c r="D47" s="3">
        <f>+'Ptmos Sector Público'!B47</f>
        <v>2959044.4000000004</v>
      </c>
      <c r="E47" s="3">
        <v>1012681.8999999999</v>
      </c>
      <c r="F47" s="53">
        <v>4770798</v>
      </c>
      <c r="G47" s="3">
        <f>+'Base Monetaria'!B47</f>
        <v>2051225.5</v>
      </c>
      <c r="I47" s="3">
        <v>2719572.5</v>
      </c>
      <c r="J47" s="53">
        <v>40966.2</v>
      </c>
      <c r="K47" s="3"/>
      <c r="L47" s="3"/>
    </row>
    <row r="48" spans="1:12" ht="15">
      <c r="A48" s="4">
        <v>1967</v>
      </c>
      <c r="B48" s="53">
        <v>6271229.5</v>
      </c>
      <c r="C48" s="3">
        <f>+'Reservas Internacionales'!B48</f>
        <v>730563.8</v>
      </c>
      <c r="D48" s="3">
        <f>+'Ptmos Sector Público'!B48</f>
        <v>3987936.6</v>
      </c>
      <c r="E48" s="3">
        <v>1552729.1</v>
      </c>
      <c r="F48" s="53">
        <v>6179093.3</v>
      </c>
      <c r="G48" s="3">
        <f>+'Base Monetaria'!B48</f>
        <v>2501935.3</v>
      </c>
      <c r="I48" s="3">
        <v>3677158</v>
      </c>
      <c r="J48" s="53">
        <v>92136.2</v>
      </c>
      <c r="K48" s="3"/>
      <c r="L48" s="3"/>
    </row>
    <row r="49" spans="1:12" ht="15">
      <c r="A49" s="4">
        <v>1968</v>
      </c>
      <c r="B49" s="53">
        <v>8767081.200000001</v>
      </c>
      <c r="C49" s="3">
        <f>+'Reservas Internacionales'!B49</f>
        <v>1797798.5999999999</v>
      </c>
      <c r="D49" s="3">
        <f>+'Ptmos Sector Público'!B49</f>
        <v>5068237.199999999</v>
      </c>
      <c r="E49" s="3">
        <v>1901045.4000000022</v>
      </c>
      <c r="F49" s="53">
        <v>8515837.3</v>
      </c>
      <c r="G49" s="3">
        <f>+'Base Monetaria'!B49</f>
        <v>3448217.7</v>
      </c>
      <c r="I49" s="3">
        <v>5067619.600000001</v>
      </c>
      <c r="J49" s="53">
        <v>251243.9</v>
      </c>
      <c r="K49" s="3"/>
      <c r="L49" s="3"/>
    </row>
    <row r="50" spans="1:12" ht="15">
      <c r="A50" s="4">
        <v>1969</v>
      </c>
      <c r="B50" s="53">
        <v>12961665.3</v>
      </c>
      <c r="C50" s="3">
        <f>+'Reservas Internacionales'!B50</f>
        <v>3673971.8</v>
      </c>
      <c r="D50" s="3">
        <f>+'Ptmos Sector Público'!B50</f>
        <v>6669321</v>
      </c>
      <c r="E50" s="3">
        <v>2618372.5</v>
      </c>
      <c r="F50" s="53">
        <v>12658700.3</v>
      </c>
      <c r="G50" s="3">
        <f>+'Base Monetaria'!B50</f>
        <v>5049123.2</v>
      </c>
      <c r="I50" s="3">
        <v>7609577.100000001</v>
      </c>
      <c r="J50" s="53">
        <v>302965</v>
      </c>
      <c r="K50" s="3"/>
      <c r="L50" s="3"/>
    </row>
    <row r="51" spans="1:12" ht="15">
      <c r="A51" s="4">
        <v>1970</v>
      </c>
      <c r="B51" s="53">
        <v>18336300.700000003</v>
      </c>
      <c r="C51" s="3">
        <f>+'Reservas Internacionales'!B51</f>
        <v>5152695</v>
      </c>
      <c r="D51" s="3">
        <f>+'Ptmos Sector Público'!B51</f>
        <v>9491185.9</v>
      </c>
      <c r="E51" s="3">
        <v>3692419.8000000026</v>
      </c>
      <c r="F51" s="53">
        <v>17829713.500000004</v>
      </c>
      <c r="G51" s="3">
        <f>+'Base Monetaria'!B51</f>
        <v>7928003.4</v>
      </c>
      <c r="I51" s="3">
        <v>9901710.100000003</v>
      </c>
      <c r="J51" s="53">
        <v>506587.2</v>
      </c>
      <c r="K51" s="3"/>
      <c r="L51" s="3"/>
    </row>
    <row r="52" spans="1:12" ht="15">
      <c r="A52" s="4">
        <v>1971</v>
      </c>
      <c r="B52" s="53">
        <v>38645512</v>
      </c>
      <c r="C52" s="3">
        <f>+'Reservas Internacionales'!B52</f>
        <v>3828492</v>
      </c>
      <c r="D52" s="3">
        <f>+'Ptmos Sector Público'!B52</f>
        <v>29779044</v>
      </c>
      <c r="E52" s="3">
        <v>5037976</v>
      </c>
      <c r="F52" s="53">
        <v>37831565</v>
      </c>
      <c r="G52" s="3">
        <f>+'Base Monetaria'!B52</f>
        <v>21213499</v>
      </c>
      <c r="I52" s="3">
        <v>16618066</v>
      </c>
      <c r="J52" s="53">
        <v>813947</v>
      </c>
      <c r="K52" s="3"/>
      <c r="L52" s="3"/>
    </row>
    <row r="53" spans="1:14" ht="15">
      <c r="A53" s="4">
        <v>1972</v>
      </c>
      <c r="B53" s="53">
        <v>110153499</v>
      </c>
      <c r="C53" s="3">
        <f>+'Reservas Internacionales'!B53</f>
        <v>4782608</v>
      </c>
      <c r="D53" s="3">
        <f>+'Ptmos Sector Público'!B53</f>
        <v>84865551</v>
      </c>
      <c r="E53" s="3">
        <v>20505340</v>
      </c>
      <c r="F53" s="53">
        <v>107438163</v>
      </c>
      <c r="G53" s="3">
        <f>+'Base Monetaria'!B53</f>
        <v>57002415</v>
      </c>
      <c r="I53" s="3">
        <v>50435748</v>
      </c>
      <c r="J53" s="53">
        <v>2715336</v>
      </c>
      <c r="K53" s="3"/>
      <c r="L53" s="3"/>
      <c r="M53" s="56">
        <v>2715336</v>
      </c>
      <c r="N53" s="56">
        <f aca="true" t="shared" si="0" ref="N53:N59">M53-J53</f>
        <v>0</v>
      </c>
    </row>
    <row r="54" spans="1:14" ht="15">
      <c r="A54" s="4">
        <v>1973</v>
      </c>
      <c r="B54" s="53">
        <v>1091888749</v>
      </c>
      <c r="C54" s="3">
        <f>+'Reservas Internacionales'!B54</f>
        <v>102522114</v>
      </c>
      <c r="D54" s="3">
        <f>+'Ptmos Sector Público'!B54</f>
        <v>721563269</v>
      </c>
      <c r="E54" s="3">
        <v>267803366</v>
      </c>
      <c r="F54" s="53">
        <v>1083547411</v>
      </c>
      <c r="G54" s="3">
        <f>+'Base Monetaria'!B54</f>
        <v>327417927</v>
      </c>
      <c r="I54" s="3">
        <v>756129484</v>
      </c>
      <c r="J54" s="53">
        <v>8341338</v>
      </c>
      <c r="K54" s="3"/>
      <c r="L54" s="3"/>
      <c r="M54" s="56">
        <v>8341338</v>
      </c>
      <c r="N54" s="56">
        <f t="shared" si="0"/>
        <v>0</v>
      </c>
    </row>
    <row r="55" spans="1:14" ht="15">
      <c r="A55" s="4">
        <v>1974</v>
      </c>
      <c r="B55" s="53">
        <v>5492509292</v>
      </c>
      <c r="C55" s="3">
        <f>+'Reservas Internacionales'!B55</f>
        <v>517835049</v>
      </c>
      <c r="D55" s="3">
        <f>+'Ptmos Sector Público'!B55</f>
        <v>3707456104</v>
      </c>
      <c r="E55" s="3">
        <v>1267218139</v>
      </c>
      <c r="F55" s="53">
        <v>5419474954</v>
      </c>
      <c r="G55" s="3">
        <f>+'Base Monetaria'!B55</f>
        <v>1058362918.0000001</v>
      </c>
      <c r="I55" s="3">
        <v>4361112036</v>
      </c>
      <c r="J55" s="53">
        <v>73034338</v>
      </c>
      <c r="K55" s="3"/>
      <c r="L55" s="3"/>
      <c r="M55" s="56">
        <v>73034338</v>
      </c>
      <c r="N55" s="56">
        <f t="shared" si="0"/>
        <v>0</v>
      </c>
    </row>
    <row r="56" spans="1:14" ht="15">
      <c r="A56" s="4">
        <v>1975</v>
      </c>
      <c r="B56" s="53">
        <v>28573325692</v>
      </c>
      <c r="C56" s="3">
        <f>+'Reservas Internacionales'!B56</f>
        <v>2002881773</v>
      </c>
      <c r="D56" s="3">
        <f>+'Ptmos Sector Público'!B56</f>
        <v>18586034335</v>
      </c>
      <c r="E56" s="3">
        <v>7984409584</v>
      </c>
      <c r="F56" s="53">
        <v>27974388980</v>
      </c>
      <c r="G56" s="3">
        <f>+'Base Monetaria'!B56</f>
        <v>3922641130</v>
      </c>
      <c r="I56" s="3">
        <v>24051747850</v>
      </c>
      <c r="J56" s="53">
        <v>598936712</v>
      </c>
      <c r="K56" s="3"/>
      <c r="L56" s="3"/>
      <c r="M56" s="56">
        <v>598936712</v>
      </c>
      <c r="N56" s="56">
        <f t="shared" si="0"/>
        <v>0</v>
      </c>
    </row>
    <row r="57" spans="1:14" ht="15">
      <c r="A57" s="4">
        <v>1976</v>
      </c>
      <c r="B57" s="53">
        <v>100091479759</v>
      </c>
      <c r="C57" s="3">
        <f>+'Reservas Internacionales'!B57</f>
        <v>11427454282</v>
      </c>
      <c r="D57" s="3">
        <f>+'Ptmos Sector Público'!B57</f>
        <v>43043596721</v>
      </c>
      <c r="E57" s="3">
        <v>45620428756</v>
      </c>
      <c r="F57" s="53">
        <v>92372297637</v>
      </c>
      <c r="G57" s="3">
        <f>+'Base Monetaria'!B57</f>
        <v>15501246231</v>
      </c>
      <c r="I57" s="3">
        <v>76871051406</v>
      </c>
      <c r="J57" s="53">
        <v>7719182122</v>
      </c>
      <c r="K57" s="3"/>
      <c r="L57" s="3"/>
      <c r="M57" s="56">
        <v>7719182122</v>
      </c>
      <c r="N57" s="56">
        <f t="shared" si="0"/>
        <v>0</v>
      </c>
    </row>
    <row r="58" spans="1:14" ht="15">
      <c r="A58" s="4">
        <v>1977</v>
      </c>
      <c r="B58" s="53">
        <v>193542508392</v>
      </c>
      <c r="C58" s="3">
        <f>+'Reservas Internacionales'!B58</f>
        <v>20063981947</v>
      </c>
      <c r="D58" s="3">
        <f>+'Ptmos Sector Público'!B58</f>
        <v>83012030477</v>
      </c>
      <c r="E58" s="3">
        <v>90466495968</v>
      </c>
      <c r="F58" s="53">
        <v>174139357065</v>
      </c>
      <c r="G58" s="3">
        <f>+'Base Monetaria'!B58</f>
        <v>37509248495</v>
      </c>
      <c r="I58" s="3">
        <v>136630108570</v>
      </c>
      <c r="J58" s="53">
        <v>19403151327</v>
      </c>
      <c r="K58" s="3"/>
      <c r="L58" s="3"/>
      <c r="M58" s="56">
        <v>19403151327</v>
      </c>
      <c r="N58" s="56">
        <f t="shared" si="0"/>
        <v>0</v>
      </c>
    </row>
    <row r="59" spans="1:14" ht="15">
      <c r="A59" s="4">
        <v>1978</v>
      </c>
      <c r="B59" s="53">
        <v>336343004488</v>
      </c>
      <c r="C59" s="3">
        <f>+'Reservas Internacionales'!B59</f>
        <v>47846403290</v>
      </c>
      <c r="D59" s="3">
        <f>+'Ptmos Sector Público'!B59</f>
        <v>92488040874</v>
      </c>
      <c r="E59" s="3">
        <v>196008560324</v>
      </c>
      <c r="F59" s="53">
        <v>287101364446</v>
      </c>
      <c r="G59" s="3">
        <f>+'Base Monetaria'!B59</f>
        <v>55111666425</v>
      </c>
      <c r="H59" s="3">
        <f>+'Documentos BCCh'!B7</f>
        <v>13240403717</v>
      </c>
      <c r="I59" s="3">
        <v>218749294304</v>
      </c>
      <c r="J59" s="53">
        <v>49241640042</v>
      </c>
      <c r="K59" s="3"/>
      <c r="L59" s="3"/>
      <c r="M59" s="56">
        <v>49241640042</v>
      </c>
      <c r="N59" s="56">
        <f t="shared" si="0"/>
        <v>0</v>
      </c>
    </row>
    <row r="60" spans="1:14" ht="15">
      <c r="A60" s="4">
        <v>1979</v>
      </c>
      <c r="B60" s="53">
        <v>525750307000</v>
      </c>
      <c r="C60" s="3">
        <f>+'Reservas Internacionales'!B60</f>
        <v>121399359000</v>
      </c>
      <c r="D60" s="3">
        <f>+'Ptmos Sector Público'!B60</f>
        <v>117664192000</v>
      </c>
      <c r="E60" s="3">
        <v>286686756000</v>
      </c>
      <c r="F60" s="53">
        <v>408177962000</v>
      </c>
      <c r="G60" s="3">
        <f>+'Base Monetaria'!B60</f>
        <v>80254714000</v>
      </c>
      <c r="H60" s="3">
        <f>+'Documentos BCCh'!B8</f>
        <v>20041668000</v>
      </c>
      <c r="I60" s="3">
        <v>307881580000</v>
      </c>
      <c r="J60" s="53">
        <v>117572345000</v>
      </c>
      <c r="K60" s="3"/>
      <c r="L60" s="3"/>
      <c r="M60" s="56">
        <v>117572345000</v>
      </c>
      <c r="N60" s="56">
        <f>M60*1000-J60</f>
        <v>117454772655000</v>
      </c>
    </row>
    <row r="61" spans="1:14" ht="15">
      <c r="A61" s="4">
        <v>1980</v>
      </c>
      <c r="B61" s="53">
        <v>632038550000</v>
      </c>
      <c r="C61" s="3">
        <f>+'Reservas Internacionales'!B61</f>
        <v>179429880000</v>
      </c>
      <c r="D61" s="3">
        <f>+'Ptmos Sector Público'!B61</f>
        <v>108600896000</v>
      </c>
      <c r="E61" s="3">
        <v>344007774000</v>
      </c>
      <c r="F61" s="53">
        <v>493530973000</v>
      </c>
      <c r="G61" s="3">
        <f>+'Base Monetaria'!B61</f>
        <v>93359648000</v>
      </c>
      <c r="H61" s="3">
        <f>+'Documentos BCCh'!B9</f>
        <v>44302476000</v>
      </c>
      <c r="I61" s="3">
        <v>355868849000</v>
      </c>
      <c r="J61" s="53">
        <v>138507577000</v>
      </c>
      <c r="K61" s="3"/>
      <c r="L61" s="3"/>
      <c r="M61" s="56">
        <v>138507577000</v>
      </c>
      <c r="N61" s="56">
        <f>M61*1000-J61</f>
        <v>138369069423000</v>
      </c>
    </row>
    <row r="62" spans="1:14" ht="15">
      <c r="A62" s="4">
        <v>1981</v>
      </c>
      <c r="B62" s="53">
        <v>349371100000</v>
      </c>
      <c r="C62" s="3">
        <f>+'Reservas Internacionales'!B62</f>
        <v>161123600000</v>
      </c>
      <c r="D62" s="3">
        <f>+'Ptmos Sector Público'!B62</f>
        <v>64824600000</v>
      </c>
      <c r="E62" s="3">
        <v>123422900000</v>
      </c>
      <c r="F62" s="53">
        <v>215536400000</v>
      </c>
      <c r="G62" s="3">
        <f>+'Base Monetaria'!B62</f>
        <v>83679800000</v>
      </c>
      <c r="H62" s="3">
        <f>+'Documentos BCCh'!B10</f>
        <v>30179100000</v>
      </c>
      <c r="I62" s="3">
        <v>101677500000</v>
      </c>
      <c r="J62" s="53">
        <v>133834700000.00002</v>
      </c>
      <c r="K62" s="3"/>
      <c r="L62" s="3"/>
      <c r="M62" s="56">
        <v>133834.7</v>
      </c>
      <c r="N62" s="56">
        <f>M62*1000000</f>
        <v>133834700000.00002</v>
      </c>
    </row>
    <row r="63" spans="1:14" ht="15">
      <c r="A63" s="4">
        <v>1982</v>
      </c>
      <c r="B63" s="53">
        <v>640425200000</v>
      </c>
      <c r="C63" s="3">
        <f>+'Reservas Internacionales'!B63</f>
        <v>220276100000</v>
      </c>
      <c r="D63" s="3">
        <f>+'Ptmos Sector Público'!B63</f>
        <v>58987000000</v>
      </c>
      <c r="E63" s="3">
        <v>361162100000</v>
      </c>
      <c r="F63" s="53">
        <v>452441600000</v>
      </c>
      <c r="G63" s="3">
        <f>+'Base Monetaria'!B63</f>
        <v>62464900000</v>
      </c>
      <c r="H63" s="3">
        <f>+'Documentos BCCh'!B11</f>
        <v>31257900000</v>
      </c>
      <c r="I63" s="3">
        <v>358718800000</v>
      </c>
      <c r="J63" s="53">
        <v>187983600000</v>
      </c>
      <c r="K63" s="3"/>
      <c r="L63" s="3"/>
      <c r="M63" s="56">
        <v>187983.6</v>
      </c>
      <c r="N63" s="56">
        <f aca="true" t="shared" si="1" ref="N63:N72">M63*1000000</f>
        <v>187983600000</v>
      </c>
    </row>
    <row r="64" spans="1:14" ht="15">
      <c r="A64" s="4">
        <v>1983</v>
      </c>
      <c r="B64" s="53">
        <v>1456786200000</v>
      </c>
      <c r="C64" s="3">
        <f>+'Reservas Internacionales'!B64</f>
        <v>282792600000</v>
      </c>
      <c r="D64" s="3">
        <f>+'Ptmos Sector Público'!B64</f>
        <v>70096000000</v>
      </c>
      <c r="E64" s="3">
        <v>1103897600000</v>
      </c>
      <c r="F64" s="53">
        <v>1237693700000</v>
      </c>
      <c r="G64" s="3">
        <f>+'Base Monetaria'!B64</f>
        <v>72469599999.99998</v>
      </c>
      <c r="H64" s="3">
        <f>+'Documentos BCCh'!B12</f>
        <v>340635900000</v>
      </c>
      <c r="I64" s="3">
        <v>824588200000</v>
      </c>
      <c r="J64" s="53">
        <v>219092500000</v>
      </c>
      <c r="K64" s="3"/>
      <c r="L64" s="3"/>
      <c r="M64" s="56">
        <v>219092.5</v>
      </c>
      <c r="N64" s="56">
        <f t="shared" si="1"/>
        <v>219092500000</v>
      </c>
    </row>
    <row r="65" spans="1:14" ht="15">
      <c r="A65" s="4">
        <v>1984</v>
      </c>
      <c r="B65" s="53">
        <v>2426125000000</v>
      </c>
      <c r="C65" s="3">
        <f>+'Reservas Internacionales'!B65</f>
        <v>445220900000</v>
      </c>
      <c r="D65" s="3">
        <f>+'Ptmos Sector Público'!B65</f>
        <v>188913200000</v>
      </c>
      <c r="E65" s="3">
        <v>1791990900000</v>
      </c>
      <c r="F65" s="53">
        <v>2267690900000</v>
      </c>
      <c r="G65" s="3">
        <f>+'Base Monetaria'!B65</f>
        <v>88235799999.99998</v>
      </c>
      <c r="H65" s="3">
        <f>+'Documentos BCCh'!B13</f>
        <v>524523500000</v>
      </c>
      <c r="I65" s="3">
        <v>1654931600000</v>
      </c>
      <c r="J65" s="53">
        <v>158434100000</v>
      </c>
      <c r="K65" s="3"/>
      <c r="L65" s="3"/>
      <c r="M65" s="56">
        <v>158434.1</v>
      </c>
      <c r="N65" s="56">
        <f t="shared" si="1"/>
        <v>158434100000</v>
      </c>
    </row>
    <row r="66" spans="1:14" ht="15">
      <c r="A66" s="4">
        <v>1985</v>
      </c>
      <c r="B66" s="53">
        <v>4305167400000</v>
      </c>
      <c r="C66" s="3">
        <f>+'Reservas Internacionales'!B66</f>
        <v>652004300000</v>
      </c>
      <c r="D66" s="3">
        <f>+'Ptmos Sector Público'!B66</f>
        <v>268100700000</v>
      </c>
      <c r="E66" s="3">
        <v>3385062400000</v>
      </c>
      <c r="F66" s="53">
        <v>4102992500000</v>
      </c>
      <c r="G66" s="3">
        <f>+'Base Monetaria'!B66</f>
        <v>110791500000</v>
      </c>
      <c r="H66" s="3">
        <f>+'Documentos BCCh'!B14</f>
        <v>1100316900000</v>
      </c>
      <c r="I66" s="3">
        <v>2891884100000</v>
      </c>
      <c r="J66" s="53">
        <v>202174900000</v>
      </c>
      <c r="K66" s="3"/>
      <c r="L66" s="3">
        <f aca="true" t="shared" si="2" ref="L66:L94">+B66-F66-J66</f>
        <v>0</v>
      </c>
      <c r="M66" s="56">
        <v>202174.9</v>
      </c>
      <c r="N66" s="56">
        <f t="shared" si="1"/>
        <v>202174900000</v>
      </c>
    </row>
    <row r="67" spans="1:14" ht="15">
      <c r="A67" s="4">
        <v>1986</v>
      </c>
      <c r="B67" s="53">
        <v>5107758300000</v>
      </c>
      <c r="C67" s="3">
        <f>+'Reservas Internacionales'!B67</f>
        <v>772370100000</v>
      </c>
      <c r="D67" s="3">
        <f>+'Ptmos Sector Público'!B67</f>
        <v>386451000000</v>
      </c>
      <c r="E67" s="3">
        <v>3948937200000</v>
      </c>
      <c r="F67" s="53">
        <v>4874006600000</v>
      </c>
      <c r="G67" s="3">
        <f>+'Base Monetaria'!B67</f>
        <v>145914700000</v>
      </c>
      <c r="H67" s="3">
        <f>+'Documentos BCCh'!B15</f>
        <v>1434989900000</v>
      </c>
      <c r="I67" s="3">
        <v>3293102000000</v>
      </c>
      <c r="J67" s="53">
        <v>233751699999.99997</v>
      </c>
      <c r="K67" s="3"/>
      <c r="L67" s="3">
        <f t="shared" si="2"/>
        <v>0</v>
      </c>
      <c r="M67" s="56">
        <v>233751.69999999998</v>
      </c>
      <c r="N67" s="56">
        <f t="shared" si="1"/>
        <v>233751699999.99997</v>
      </c>
    </row>
    <row r="68" spans="1:14" ht="15">
      <c r="A68" s="4">
        <v>1987</v>
      </c>
      <c r="B68" s="53">
        <v>5878814400000</v>
      </c>
      <c r="C68" s="3">
        <f>+'Reservas Internacionales'!B68</f>
        <v>983819100000</v>
      </c>
      <c r="D68" s="3">
        <f>+'Ptmos Sector Público'!B68</f>
        <v>459980700000</v>
      </c>
      <c r="E68" s="3">
        <v>4435014600000</v>
      </c>
      <c r="F68" s="53">
        <v>5591350000000</v>
      </c>
      <c r="G68" s="3">
        <f>+'Base Monetaria'!B68</f>
        <v>171385700000</v>
      </c>
      <c r="H68" s="3">
        <f>+'Documentos BCCh'!B16</f>
        <v>1655616600000</v>
      </c>
      <c r="I68" s="3">
        <v>3764347700000</v>
      </c>
      <c r="J68" s="53">
        <v>287464400000</v>
      </c>
      <c r="K68" s="3"/>
      <c r="L68" s="3">
        <f t="shared" si="2"/>
        <v>0</v>
      </c>
      <c r="M68" s="56">
        <v>287464.4</v>
      </c>
      <c r="N68" s="56">
        <f t="shared" si="1"/>
        <v>287464400000</v>
      </c>
    </row>
    <row r="69" spans="1:14" ht="15">
      <c r="A69" s="4">
        <v>1988</v>
      </c>
      <c r="B69" s="53">
        <v>6378964700000</v>
      </c>
      <c r="C69" s="3">
        <f>+'Reservas Internacionales'!B69</f>
        <v>1203688400000</v>
      </c>
      <c r="D69" s="3">
        <f>+'Ptmos Sector Público'!B69</f>
        <v>296194900000</v>
      </c>
      <c r="E69" s="3">
        <v>4879081400000</v>
      </c>
      <c r="F69" s="53">
        <v>6041361600000</v>
      </c>
      <c r="G69" s="3">
        <f>+'Base Monetaria'!B69</f>
        <v>245888900000</v>
      </c>
      <c r="H69" s="3">
        <f>+'Documentos BCCh'!B17</f>
        <v>1726189800000</v>
      </c>
      <c r="I69" s="3">
        <v>4069282900000</v>
      </c>
      <c r="J69" s="53">
        <v>337603100000.00006</v>
      </c>
      <c r="K69" s="3"/>
      <c r="L69" s="3">
        <f t="shared" si="2"/>
        <v>0</v>
      </c>
      <c r="M69" s="56">
        <v>337603.10000000003</v>
      </c>
      <c r="N69" s="56">
        <f t="shared" si="1"/>
        <v>337603100000.00006</v>
      </c>
    </row>
    <row r="70" spans="1:14" ht="15">
      <c r="A70" s="4">
        <v>1989</v>
      </c>
      <c r="B70" s="53">
        <v>6358699100000</v>
      </c>
      <c r="C70" s="3">
        <f>+'Reservas Internacionales'!B70</f>
        <v>1493622100000</v>
      </c>
      <c r="D70" s="3">
        <f>+'Ptmos Sector Público'!B70</f>
        <v>2214928800000</v>
      </c>
      <c r="E70" s="3">
        <v>2650148200000</v>
      </c>
      <c r="F70" s="53">
        <v>5932038300000</v>
      </c>
      <c r="G70" s="3">
        <f>+'Base Monetaria'!B70</f>
        <v>280554000000</v>
      </c>
      <c r="H70" s="3">
        <f>+'Documentos BCCh'!B18</f>
        <v>2247512900000</v>
      </c>
      <c r="I70" s="3">
        <v>3403971400000</v>
      </c>
      <c r="J70" s="53">
        <v>426660800000</v>
      </c>
      <c r="K70" s="3"/>
      <c r="L70" s="3">
        <f t="shared" si="2"/>
        <v>0</v>
      </c>
      <c r="M70" s="56">
        <v>426660.8</v>
      </c>
      <c r="N70" s="56">
        <f t="shared" si="1"/>
        <v>426660800000</v>
      </c>
    </row>
    <row r="71" spans="1:14" ht="15">
      <c r="A71" s="4">
        <v>1990</v>
      </c>
      <c r="B71" s="53">
        <v>8600071500000</v>
      </c>
      <c r="C71" s="3">
        <f>+'Reservas Internacionales'!B71</f>
        <v>2682099600000</v>
      </c>
      <c r="D71" s="3">
        <f>+'Ptmos Sector Público'!B71</f>
        <v>2794644600000</v>
      </c>
      <c r="E71" s="3">
        <v>3123327300000</v>
      </c>
      <c r="F71" s="53">
        <v>8036391200000</v>
      </c>
      <c r="G71" s="3">
        <f>+'Base Monetaria'!B71</f>
        <v>394898500000</v>
      </c>
      <c r="H71" s="3">
        <f>+'Documentos BCCh'!B19</f>
        <v>3668528300000</v>
      </c>
      <c r="I71" s="3">
        <v>3972964400000</v>
      </c>
      <c r="J71" s="53">
        <v>563680299999.9999</v>
      </c>
      <c r="K71" s="3"/>
      <c r="L71" s="3">
        <f t="shared" si="2"/>
        <v>0</v>
      </c>
      <c r="M71" s="56">
        <v>563680.2999999999</v>
      </c>
      <c r="N71" s="56">
        <f t="shared" si="1"/>
        <v>563680299999.9999</v>
      </c>
    </row>
    <row r="72" spans="1:14" ht="15">
      <c r="A72" s="4">
        <v>1991</v>
      </c>
      <c r="B72" s="53">
        <v>9418869300000</v>
      </c>
      <c r="C72" s="3">
        <f>+'Reservas Internacionales'!B72</f>
        <v>3411059800000</v>
      </c>
      <c r="D72" s="3">
        <f>+'Ptmos Sector Público'!B72</f>
        <v>3140320200000</v>
      </c>
      <c r="E72" s="3">
        <v>2867489300000</v>
      </c>
      <c r="F72" s="53">
        <v>8746619300000</v>
      </c>
      <c r="G72" s="3">
        <f>+'Base Monetaria'!B72</f>
        <v>563914100000</v>
      </c>
      <c r="H72" s="3">
        <f>+'Documentos BCCh'!B20</f>
        <v>4537999300000</v>
      </c>
      <c r="I72" s="3">
        <v>3644705900000</v>
      </c>
      <c r="J72" s="53">
        <v>672250000000</v>
      </c>
      <c r="K72" s="3"/>
      <c r="L72" s="3">
        <f t="shared" si="2"/>
        <v>0</v>
      </c>
      <c r="M72" s="56">
        <v>672250</v>
      </c>
      <c r="N72" s="56">
        <f t="shared" si="1"/>
        <v>672250000000</v>
      </c>
    </row>
    <row r="73" spans="1:12" ht="15">
      <c r="A73" s="4">
        <v>1992</v>
      </c>
      <c r="B73" s="53">
        <v>10884524000000</v>
      </c>
      <c r="C73" s="3">
        <f>+'Reservas Internacionales'!B73</f>
        <v>4690307000000</v>
      </c>
      <c r="D73" s="3">
        <f>+'Ptmos Sector Público'!B73</f>
        <v>3427454500000.0005</v>
      </c>
      <c r="E73" s="3">
        <v>2766762499999.9995</v>
      </c>
      <c r="F73" s="53">
        <v>10152909800000</v>
      </c>
      <c r="G73" s="3">
        <f>+'Base Monetaria'!B73</f>
        <v>622158600000.0001</v>
      </c>
      <c r="H73" s="3">
        <f>+'Documentos BCCh'!B21</f>
        <v>5516256900000</v>
      </c>
      <c r="I73" s="3">
        <v>4014494300000</v>
      </c>
      <c r="J73" s="53">
        <v>731614200000</v>
      </c>
      <c r="K73" s="3"/>
      <c r="L73" s="3">
        <f t="shared" si="2"/>
        <v>0</v>
      </c>
    </row>
    <row r="74" spans="1:12" ht="15">
      <c r="A74" s="4">
        <v>1993</v>
      </c>
      <c r="B74" s="53">
        <v>12035959400000</v>
      </c>
      <c r="C74" s="3">
        <f>+'Reservas Internacionales'!B74</f>
        <v>5305425500000</v>
      </c>
      <c r="D74" s="3">
        <f>+'Ptmos Sector Público'!B74</f>
        <v>3811955700000</v>
      </c>
      <c r="E74" s="3">
        <v>2918578200000</v>
      </c>
      <c r="F74" s="53">
        <v>11220005000000</v>
      </c>
      <c r="G74" s="3">
        <f>+'Base Monetaria'!B74</f>
        <v>699803200000</v>
      </c>
      <c r="H74" s="3">
        <f>+'Documentos BCCh'!B22</f>
        <v>6214433799999.999</v>
      </c>
      <c r="I74" s="3">
        <v>4305768000000.001</v>
      </c>
      <c r="J74" s="53">
        <v>815954400000</v>
      </c>
      <c r="K74" s="3"/>
      <c r="L74" s="3">
        <f t="shared" si="2"/>
        <v>0</v>
      </c>
    </row>
    <row r="75" spans="1:12" ht="15">
      <c r="A75" s="4">
        <v>1994</v>
      </c>
      <c r="B75" s="53">
        <v>12791547800000</v>
      </c>
      <c r="C75" s="3">
        <f>+'Reservas Internacionales'!B75</f>
        <v>6271108100000</v>
      </c>
      <c r="D75" s="3">
        <f>+'Ptmos Sector Público'!B75</f>
        <v>3560697700000</v>
      </c>
      <c r="E75" s="3">
        <v>2959742000000</v>
      </c>
      <c r="F75" s="53">
        <v>12512050800000</v>
      </c>
      <c r="G75" s="3">
        <f>+'Base Monetaria'!B75</f>
        <v>879136500000</v>
      </c>
      <c r="H75" s="3">
        <f>+'Documentos BCCh'!B23</f>
        <v>7450955400000</v>
      </c>
      <c r="I75" s="3">
        <v>4181958900000</v>
      </c>
      <c r="J75" s="53">
        <v>279497000000</v>
      </c>
      <c r="K75" s="3"/>
      <c r="L75" s="3">
        <f t="shared" si="2"/>
        <v>0</v>
      </c>
    </row>
    <row r="76" spans="1:12" ht="15">
      <c r="A76" s="4">
        <v>1995</v>
      </c>
      <c r="B76" s="53">
        <v>13542233700000</v>
      </c>
      <c r="C76" s="3">
        <f>+'Reservas Internacionales'!B76</f>
        <v>6953402500000</v>
      </c>
      <c r="D76" s="3">
        <f>+'Ptmos Sector Público'!B76</f>
        <v>3791896400000</v>
      </c>
      <c r="E76" s="3">
        <v>2796934800000</v>
      </c>
      <c r="F76" s="53">
        <v>13246985500000</v>
      </c>
      <c r="G76" s="3">
        <f>+'Base Monetaria'!B76</f>
        <v>1068794200000</v>
      </c>
      <c r="H76" s="3">
        <f>+'Documentos BCCh'!B24</f>
        <v>8261444500000</v>
      </c>
      <c r="I76" s="3">
        <v>3916746800000</v>
      </c>
      <c r="J76" s="53">
        <v>295248200000</v>
      </c>
      <c r="K76" s="3"/>
      <c r="L76" s="3">
        <f t="shared" si="2"/>
        <v>0</v>
      </c>
    </row>
    <row r="77" spans="1:12" ht="15">
      <c r="A77" s="4">
        <v>1996</v>
      </c>
      <c r="B77" s="53">
        <v>13798831300000</v>
      </c>
      <c r="C77" s="3">
        <f>+'Reservas Internacionales'!B77</f>
        <v>7732968900000</v>
      </c>
      <c r="D77" s="3">
        <f>+'Ptmos Sector Público'!B77</f>
        <v>3815852100000</v>
      </c>
      <c r="E77" s="3">
        <v>2250010300000</v>
      </c>
      <c r="F77" s="53">
        <v>13612280000000</v>
      </c>
      <c r="G77" s="3">
        <f>+'Base Monetaria'!B77</f>
        <v>1211265500000</v>
      </c>
      <c r="H77" s="3">
        <f>+'Documentos BCCh'!B25</f>
        <v>9413422400000</v>
      </c>
      <c r="I77" s="3">
        <v>2987592100000</v>
      </c>
      <c r="J77" s="53">
        <v>186551300000</v>
      </c>
      <c r="K77" s="3"/>
      <c r="L77" s="3">
        <f t="shared" si="2"/>
        <v>0</v>
      </c>
    </row>
    <row r="78" spans="1:12" ht="15">
      <c r="A78" s="4">
        <v>1997</v>
      </c>
      <c r="B78" s="53">
        <v>15032103800000</v>
      </c>
      <c r="C78" s="3">
        <f>+'Reservas Internacionales'!B78</f>
        <v>8911772200000</v>
      </c>
      <c r="D78" s="3">
        <f>+'Ptmos Sector Público'!B78</f>
        <v>3842692100000</v>
      </c>
      <c r="E78" s="3">
        <v>2277639500000</v>
      </c>
      <c r="F78" s="53">
        <v>15590360000000</v>
      </c>
      <c r="G78" s="3">
        <f>+'Base Monetaria'!B78</f>
        <v>1395157400000</v>
      </c>
      <c r="H78" s="3">
        <f>+'Documentos BCCh'!B26</f>
        <v>10961944000000</v>
      </c>
      <c r="I78" s="3">
        <v>3233258600000</v>
      </c>
      <c r="J78" s="53">
        <v>-558256200000</v>
      </c>
      <c r="K78" s="3"/>
      <c r="L78" s="3">
        <f t="shared" si="2"/>
        <v>0</v>
      </c>
    </row>
    <row r="79" spans="1:12" ht="15">
      <c r="A79" s="4">
        <v>1998</v>
      </c>
      <c r="B79" s="53">
        <v>13922952400000</v>
      </c>
      <c r="C79" s="3">
        <f>+'Reservas Internacionales'!B79</f>
        <v>8041417200000</v>
      </c>
      <c r="D79" s="3">
        <f>+'Ptmos Sector Público'!B79</f>
        <v>3622027100000</v>
      </c>
      <c r="E79" s="3">
        <v>2259508100000</v>
      </c>
      <c r="F79" s="53">
        <v>14886600000000</v>
      </c>
      <c r="G79" s="3">
        <f>+'Base Monetaria'!B79</f>
        <v>1396782700000</v>
      </c>
      <c r="H79" s="3">
        <f>+'Documentos BCCh'!B27</f>
        <v>10526254300000</v>
      </c>
      <c r="I79" s="3">
        <v>2963563000000</v>
      </c>
      <c r="J79" s="53">
        <v>-963647600000</v>
      </c>
      <c r="K79" s="3"/>
      <c r="L79" s="3">
        <f t="shared" si="2"/>
        <v>0</v>
      </c>
    </row>
    <row r="80" spans="1:12" ht="15">
      <c r="A80" s="4">
        <v>1999</v>
      </c>
      <c r="B80" s="53">
        <v>14298274600000</v>
      </c>
      <c r="C80" s="3">
        <f>+'Reservas Internacionales'!B80</f>
        <v>8476523800000</v>
      </c>
      <c r="D80" s="3">
        <f>+'Ptmos Sector Público'!B80</f>
        <v>3810878500000</v>
      </c>
      <c r="E80" s="3">
        <v>2010872300000</v>
      </c>
      <c r="F80" s="53">
        <v>15153700000000</v>
      </c>
      <c r="G80" s="3">
        <f>+'Base Monetaria'!B80</f>
        <v>1786938200000</v>
      </c>
      <c r="H80" s="3">
        <f>+'Documentos BCCh'!B28</f>
        <v>11285351700000</v>
      </c>
      <c r="I80" s="3">
        <v>2081410100000</v>
      </c>
      <c r="J80" s="53">
        <v>-855425400000</v>
      </c>
      <c r="K80" s="3"/>
      <c r="L80" s="3">
        <f t="shared" si="2"/>
        <v>0</v>
      </c>
    </row>
    <row r="81" spans="1:12" ht="15">
      <c r="A81" s="4">
        <v>2000</v>
      </c>
      <c r="B81" s="53">
        <v>15594866915000</v>
      </c>
      <c r="C81" s="3">
        <f>+'Reservas Internacionales'!B81</f>
        <v>9216936600000</v>
      </c>
      <c r="D81" s="3">
        <f>+'Ptmos Sector Público'!B81</f>
        <v>4231332499999.9995</v>
      </c>
      <c r="E81" s="3">
        <v>2146597815000.0005</v>
      </c>
      <c r="F81" s="53">
        <v>16310397215000</v>
      </c>
      <c r="G81" s="3">
        <f>+'Base Monetaria'!B81</f>
        <v>1713357000000</v>
      </c>
      <c r="H81" s="3">
        <f>+'Documentos BCCh'!B29</f>
        <v>13086279300000</v>
      </c>
      <c r="I81" s="3">
        <v>1510760915000</v>
      </c>
      <c r="J81" s="53">
        <v>-715530300000</v>
      </c>
      <c r="K81" s="3"/>
      <c r="L81" s="3">
        <f t="shared" si="2"/>
        <v>0</v>
      </c>
    </row>
    <row r="82" spans="1:12" ht="15">
      <c r="A82" s="4">
        <v>2001</v>
      </c>
      <c r="B82" s="53">
        <v>17357001600000</v>
      </c>
      <c r="C82" s="3">
        <f>+'Reservas Internacionales'!B82</f>
        <v>10140767500000</v>
      </c>
      <c r="D82" s="3">
        <f>+'Ptmos Sector Público'!B82</f>
        <v>4708003300000</v>
      </c>
      <c r="E82" s="3">
        <v>2508230800000</v>
      </c>
      <c r="F82" s="53">
        <v>17106900000000</v>
      </c>
      <c r="G82" s="3">
        <f>+'Base Monetaria'!B82</f>
        <v>1884061200000</v>
      </c>
      <c r="H82" s="3">
        <f>+'Documentos BCCh'!B30</f>
        <v>14009464400000</v>
      </c>
      <c r="I82" s="3">
        <v>1213374400000</v>
      </c>
      <c r="J82" s="53">
        <v>250101600000</v>
      </c>
      <c r="K82" s="3"/>
      <c r="L82" s="3">
        <f t="shared" si="2"/>
        <v>0</v>
      </c>
    </row>
    <row r="83" spans="1:12" ht="15">
      <c r="A83" s="4">
        <v>2002</v>
      </c>
      <c r="B83" s="53">
        <v>17757216300000</v>
      </c>
      <c r="C83" s="3">
        <f>+'Reservas Internacionales'!B83</f>
        <v>10935836600000</v>
      </c>
      <c r="D83" s="3">
        <f>+'Ptmos Sector Público'!B83</f>
        <v>4702196400000</v>
      </c>
      <c r="E83" s="3">
        <v>2119183300000</v>
      </c>
      <c r="F83" s="53">
        <v>16880200000000</v>
      </c>
      <c r="G83" s="3">
        <f>+'Base Monetaria'!B83</f>
        <v>1983160500000</v>
      </c>
      <c r="H83" s="3">
        <f>+'Documentos BCCh'!B31</f>
        <v>13972138000000</v>
      </c>
      <c r="I83" s="3">
        <v>924901500000</v>
      </c>
      <c r="J83" s="53">
        <v>877016300000</v>
      </c>
      <c r="K83" s="3"/>
      <c r="L83" s="3">
        <f t="shared" si="2"/>
        <v>0</v>
      </c>
    </row>
    <row r="84" spans="1:12" ht="15">
      <c r="A84" s="4">
        <v>2003</v>
      </c>
      <c r="B84" s="53">
        <v>15806646200000</v>
      </c>
      <c r="C84" s="3">
        <f>+'Reservas Internacionales'!B84</f>
        <v>9501545500000</v>
      </c>
      <c r="D84" s="3">
        <f>+'Ptmos Sector Público'!B84</f>
        <v>3698604300000</v>
      </c>
      <c r="E84" s="3">
        <v>2606496400000</v>
      </c>
      <c r="F84" s="53">
        <v>16351400000000</v>
      </c>
      <c r="G84" s="3">
        <f>+'Base Monetaria'!B84</f>
        <v>2094416800000</v>
      </c>
      <c r="H84" s="3">
        <f>+'Documentos BCCh'!B32</f>
        <v>13100379600000</v>
      </c>
      <c r="I84" s="3">
        <v>1156603600000</v>
      </c>
      <c r="J84" s="53">
        <v>-544753800000</v>
      </c>
      <c r="K84" s="3"/>
      <c r="L84" s="3">
        <f t="shared" si="2"/>
        <v>0</v>
      </c>
    </row>
    <row r="85" spans="1:12" ht="15">
      <c r="A85" s="4">
        <v>2004</v>
      </c>
      <c r="B85" s="53">
        <v>14890710000000</v>
      </c>
      <c r="C85" s="3">
        <f>+'Reservas Internacionales'!B85</f>
        <v>8966255100000</v>
      </c>
      <c r="D85" s="3">
        <f>+'Ptmos Sector Público'!B85</f>
        <v>2899611900000</v>
      </c>
      <c r="E85" s="3">
        <v>3024843000000</v>
      </c>
      <c r="F85" s="53">
        <v>16131599800000</v>
      </c>
      <c r="G85" s="3">
        <f>+'Base Monetaria'!B85</f>
        <v>2329189800000</v>
      </c>
      <c r="H85" s="3">
        <f>+'Documentos BCCh'!B33</f>
        <v>12088249000000</v>
      </c>
      <c r="I85" s="3">
        <v>1714161000000</v>
      </c>
      <c r="J85" s="53">
        <v>-1240889800000</v>
      </c>
      <c r="K85" s="3"/>
      <c r="L85" s="3">
        <f t="shared" si="2"/>
        <v>0</v>
      </c>
    </row>
    <row r="86" spans="1:12" ht="15">
      <c r="A86" s="4">
        <v>2005</v>
      </c>
      <c r="B86" s="53">
        <v>13535023224822</v>
      </c>
      <c r="C86" s="3">
        <f>+'Reservas Internacionales'!B86</f>
        <v>8722739300000</v>
      </c>
      <c r="D86" s="3">
        <f>+'Ptmos Sector Público'!B86</f>
        <v>1671024600000</v>
      </c>
      <c r="E86" s="3">
        <v>3141259324822</v>
      </c>
      <c r="F86" s="53">
        <v>15958923224822</v>
      </c>
      <c r="G86" s="3">
        <f>+'Base Monetaria'!B86</f>
        <v>3196543300000</v>
      </c>
      <c r="H86" s="3">
        <f>+'Documentos BCCh'!B34</f>
        <v>10271808700000</v>
      </c>
      <c r="I86" s="3">
        <v>2490571224822</v>
      </c>
      <c r="J86" s="53">
        <v>-2423900000000</v>
      </c>
      <c r="K86" s="3"/>
      <c r="L86" s="3">
        <f t="shared" si="2"/>
        <v>0</v>
      </c>
    </row>
    <row r="87" spans="1:12" ht="15">
      <c r="A87" s="4">
        <v>2006</v>
      </c>
      <c r="B87" s="53">
        <v>13829122769984</v>
      </c>
      <c r="C87" s="3">
        <f>+'Reservas Internacionales'!B87</f>
        <v>10383410900000</v>
      </c>
      <c r="D87" s="3">
        <f>+'Ptmos Sector Público'!B87</f>
        <v>888328500000</v>
      </c>
      <c r="E87" s="3">
        <v>2557383369984</v>
      </c>
      <c r="F87" s="53">
        <v>15972822769984</v>
      </c>
      <c r="G87" s="3">
        <f>+'Base Monetaria'!B87</f>
        <v>3806611200000</v>
      </c>
      <c r="H87" s="3">
        <f>+'Documentos BCCh'!B35</f>
        <v>8535441600000</v>
      </c>
      <c r="I87" s="3">
        <v>3630769969984</v>
      </c>
      <c r="J87" s="53">
        <v>-2143699999999.9998</v>
      </c>
      <c r="K87" s="3"/>
      <c r="L87" s="3">
        <f t="shared" si="2"/>
        <v>0</v>
      </c>
    </row>
    <row r="88" spans="1:12" ht="15">
      <c r="A88" s="4">
        <v>2007</v>
      </c>
      <c r="B88" s="53">
        <v>10940373428418</v>
      </c>
      <c r="C88" s="3">
        <f>+'Reservas Internacionales'!B88</f>
        <v>8384368100000</v>
      </c>
      <c r="D88" s="3">
        <f>+'Ptmos Sector Público'!B88</f>
        <v>293422800000</v>
      </c>
      <c r="E88" s="3">
        <v>2262582528418</v>
      </c>
      <c r="F88" s="53">
        <v>13117199967418</v>
      </c>
      <c r="G88" s="3">
        <f>+'Base Monetaria'!B88</f>
        <v>3702153300000</v>
      </c>
      <c r="H88" s="3">
        <f>+'Documentos BCCh'!B36</f>
        <v>7693670300000</v>
      </c>
      <c r="I88" s="3">
        <v>1721376367418</v>
      </c>
      <c r="J88" s="53">
        <v>-2176826539000</v>
      </c>
      <c r="K88" s="3"/>
      <c r="L88" s="3">
        <f t="shared" si="2"/>
        <v>0</v>
      </c>
    </row>
    <row r="89" spans="1:12" ht="15">
      <c r="A89" s="4">
        <v>2008</v>
      </c>
      <c r="B89" s="53">
        <v>18232641118762</v>
      </c>
      <c r="C89" s="3">
        <f>+'Reservas Internacionales'!B89</f>
        <v>14571665200000</v>
      </c>
      <c r="D89" s="3">
        <f>+'Ptmos Sector Público'!B89</f>
        <v>245521300000</v>
      </c>
      <c r="E89" s="3">
        <v>3415454618762</v>
      </c>
      <c r="F89" s="53">
        <v>17614941118762</v>
      </c>
      <c r="G89" s="3">
        <f>+'Base Monetaria'!B89</f>
        <v>4229786800000</v>
      </c>
      <c r="H89" s="3">
        <f>+'Documentos BCCh'!B37</f>
        <v>10652583300000</v>
      </c>
      <c r="I89" s="3">
        <v>2732571018762</v>
      </c>
      <c r="J89" s="53">
        <v>617700000000</v>
      </c>
      <c r="K89" s="3"/>
      <c r="L89" s="3">
        <f t="shared" si="2"/>
        <v>0</v>
      </c>
    </row>
    <row r="90" spans="1:12" ht="15">
      <c r="A90" s="4">
        <v>2009</v>
      </c>
      <c r="B90" s="53">
        <v>18611993877820.9</v>
      </c>
      <c r="C90" s="3">
        <f>+'Reservas Internacionales'!B90</f>
        <v>12849409600000</v>
      </c>
      <c r="D90" s="3">
        <f>+'Ptmos Sector Público'!B90</f>
        <v>238413400000</v>
      </c>
      <c r="E90" s="3">
        <v>5524170877820.898</v>
      </c>
      <c r="F90" s="53">
        <v>20572193877820.9</v>
      </c>
      <c r="G90" s="3">
        <f>+'Base Monetaria'!B90</f>
        <v>4582203600000</v>
      </c>
      <c r="H90" s="3">
        <f>+'Documentos BCCh'!B38</f>
        <v>11579171800000</v>
      </c>
      <c r="I90" s="3">
        <v>4410818477820.898</v>
      </c>
      <c r="J90" s="53">
        <v>-1960200000000</v>
      </c>
      <c r="K90" s="3"/>
      <c r="L90" s="3">
        <f t="shared" si="2"/>
        <v>0</v>
      </c>
    </row>
    <row r="91" spans="1:12" ht="15">
      <c r="A91" s="4">
        <v>2010</v>
      </c>
      <c r="B91" s="53">
        <v>15091000000000</v>
      </c>
      <c r="C91" s="3">
        <f>+'Reservas Internacionales'!B91</f>
        <v>13050537000000</v>
      </c>
      <c r="D91" s="3">
        <f>+'Ptmos Sector Público'!B91</f>
        <v>244249600000</v>
      </c>
      <c r="E91" s="3">
        <v>1796213400000</v>
      </c>
      <c r="F91" s="53">
        <v>18540000000000</v>
      </c>
      <c r="G91" s="3">
        <f>+'Base Monetaria'!B91</f>
        <v>5525006600000</v>
      </c>
      <c r="H91" s="3">
        <f>+'Documentos BCCh'!B39</f>
        <v>8915697900000</v>
      </c>
      <c r="I91" s="3">
        <v>4099295500000</v>
      </c>
      <c r="J91" s="53">
        <v>-3449000000000</v>
      </c>
      <c r="K91" s="3"/>
      <c r="L91" s="3">
        <f t="shared" si="2"/>
        <v>0</v>
      </c>
    </row>
    <row r="92" spans="1:12" ht="15">
      <c r="A92" s="4">
        <v>2011</v>
      </c>
      <c r="B92" s="53">
        <v>24912000000000</v>
      </c>
      <c r="C92" s="3">
        <f>+'Reservas Internacionales'!B92</f>
        <v>21890542200000</v>
      </c>
      <c r="D92" s="3">
        <f>+'Ptmos Sector Público'!B92</f>
        <v>253794900000</v>
      </c>
      <c r="E92" s="3">
        <v>2767662900000</v>
      </c>
      <c r="F92" s="53">
        <v>27266000000000</v>
      </c>
      <c r="G92" s="3">
        <f>+'Base Monetaria'!B92</f>
        <v>7760278800000</v>
      </c>
      <c r="H92" s="3">
        <f>+'Documentos BCCh'!B40</f>
        <v>13186136100000</v>
      </c>
      <c r="I92" s="3">
        <v>6319585100000</v>
      </c>
      <c r="J92" s="53">
        <v>-2354000000000</v>
      </c>
      <c r="K92" s="3"/>
      <c r="L92" s="3">
        <f t="shared" si="2"/>
        <v>0</v>
      </c>
    </row>
    <row r="93" spans="1:12" ht="15">
      <c r="A93" s="4">
        <v>2012</v>
      </c>
      <c r="B93" s="53">
        <v>23100000000000</v>
      </c>
      <c r="C93" s="3">
        <f>+'Reservas Internacionales'!B93</f>
        <v>19933433500000</v>
      </c>
      <c r="D93" s="3">
        <f>+'Ptmos Sector Público'!B93</f>
        <v>260018700000</v>
      </c>
      <c r="E93" s="3">
        <v>2906547800000</v>
      </c>
      <c r="F93" s="53">
        <v>27579000000000</v>
      </c>
      <c r="G93" s="3">
        <f>+'Base Monetaria'!B93</f>
        <v>8620847000000</v>
      </c>
      <c r="H93" s="3">
        <f>+'Documentos BCCh'!B41</f>
        <v>12905054500000</v>
      </c>
      <c r="I93" s="3">
        <v>6053098500000</v>
      </c>
      <c r="J93" s="53">
        <v>-4479000000000</v>
      </c>
      <c r="K93" s="3"/>
      <c r="L93" s="3">
        <f t="shared" si="2"/>
        <v>0</v>
      </c>
    </row>
    <row r="94" spans="1:12" ht="15">
      <c r="A94" s="4">
        <v>2013</v>
      </c>
      <c r="B94" s="53">
        <v>23561000000000</v>
      </c>
      <c r="C94" s="3">
        <f>+'Reservas Internacionales'!B94</f>
        <v>21523220500000</v>
      </c>
      <c r="D94" s="3">
        <f>+'Ptmos Sector Público'!B94</f>
        <v>265355599999.99997</v>
      </c>
      <c r="E94" s="3">
        <v>1772423900000</v>
      </c>
      <c r="F94" s="53">
        <v>27381000000000</v>
      </c>
      <c r="G94" s="3">
        <f>+'Base Monetaria'!B94</f>
        <v>8754473900000</v>
      </c>
      <c r="H94" s="3">
        <f>+'Documentos BCCh'!B42</f>
        <v>13033022200000</v>
      </c>
      <c r="I94" s="3">
        <v>5593503900000</v>
      </c>
      <c r="J94" s="53">
        <v>-3820000000000</v>
      </c>
      <c r="K94" s="3"/>
      <c r="L94" s="3">
        <f t="shared" si="2"/>
        <v>0</v>
      </c>
    </row>
    <row r="95" spans="1:12" ht="15">
      <c r="A95" s="4">
        <v>2014</v>
      </c>
      <c r="B95" s="53">
        <v>25626260084037</v>
      </c>
      <c r="C95" s="3">
        <f>+'Reservas Internacionales'!B95</f>
        <v>24566660200000</v>
      </c>
      <c r="D95" s="3">
        <f>+'Ptmos Sector Público'!B95</f>
        <v>280354500000</v>
      </c>
      <c r="E95" s="3">
        <v>779245384037</v>
      </c>
      <c r="F95" s="53">
        <v>29170734503453</v>
      </c>
      <c r="G95" s="3">
        <f>+'Base Monetaria'!B95</f>
        <v>8183119500000</v>
      </c>
      <c r="H95" s="3">
        <f>+'Documentos BCCh'!B43</f>
        <v>12908184900000</v>
      </c>
      <c r="I95" s="3">
        <v>8079430103453</v>
      </c>
      <c r="J95" s="53">
        <v>-3544474419416</v>
      </c>
      <c r="K95" s="3"/>
      <c r="L95" s="3"/>
    </row>
    <row r="96" spans="1:12" ht="15">
      <c r="A96" s="4">
        <v>2015</v>
      </c>
      <c r="B96" s="53">
        <v>28323784481032</v>
      </c>
      <c r="C96" s="3">
        <f>+'Reservas Internacionales'!B96</f>
        <v>27333427478592</v>
      </c>
      <c r="D96" s="3">
        <f>+'Ptmos Sector Público'!B96</f>
        <v>291761136922</v>
      </c>
      <c r="E96" s="3">
        <v>698595865518</v>
      </c>
      <c r="F96" s="53">
        <v>30299559215620</v>
      </c>
      <c r="G96" s="3">
        <f>+'Base Monetaria'!B96</f>
        <v>9151628240268</v>
      </c>
      <c r="H96" s="3">
        <f>+'Documentos BCCh'!B44</f>
        <v>13494385800000</v>
      </c>
      <c r="I96" s="3">
        <v>7653545175352</v>
      </c>
      <c r="J96" s="53">
        <v>-1975774734588</v>
      </c>
      <c r="K96" s="3"/>
      <c r="L96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1"/>
  <sheetViews>
    <sheetView showGridLines="0" zoomScale="50" zoomScaleNormal="50" zoomScalePageLayoutView="0" workbookViewId="0" topLeftCell="A31">
      <selection activeCell="A4" sqref="A4:A91"/>
    </sheetView>
  </sheetViews>
  <sheetFormatPr defaultColWidth="11.421875" defaultRowHeight="15"/>
  <cols>
    <col min="1" max="1" width="9.28125" style="4" customWidth="1"/>
    <col min="2" max="2" width="22.7109375" style="3" customWidth="1"/>
    <col min="3" max="3" width="25.421875" style="3" bestFit="1" customWidth="1"/>
    <col min="4" max="4" width="25.421875" style="3" customWidth="1"/>
    <col min="5" max="7" width="23.00390625" style="3" bestFit="1" customWidth="1"/>
    <col min="8" max="9" width="26.57421875" style="3" customWidth="1"/>
    <col min="10" max="10" width="30.7109375" style="3" customWidth="1"/>
    <col min="11" max="11" width="21.8515625" style="3" bestFit="1" customWidth="1"/>
    <col min="12" max="12" width="11.421875" style="5" customWidth="1"/>
    <col min="13" max="13" width="15.7109375" style="5" bestFit="1" customWidth="1"/>
    <col min="14" max="16384" width="11.421875" style="5" customWidth="1"/>
  </cols>
  <sheetData>
    <row r="2" spans="1:14" ht="60" customHeight="1">
      <c r="A2" s="6" t="s">
        <v>7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</row>
    <row r="3" spans="1:12" ht="90" customHeight="1">
      <c r="A3" s="9" t="s">
        <v>1</v>
      </c>
      <c r="B3" s="1" t="s">
        <v>9</v>
      </c>
      <c r="C3" s="1" t="s">
        <v>12</v>
      </c>
      <c r="D3" s="1" t="s">
        <v>11</v>
      </c>
      <c r="E3" s="1" t="s">
        <v>10</v>
      </c>
      <c r="F3" s="1" t="s">
        <v>8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/>
    </row>
    <row r="4" spans="1:13" ht="15">
      <c r="A4" s="10">
        <v>1926</v>
      </c>
      <c r="B4" s="2">
        <f>LOG('Balance BCCh'!B7)</f>
        <v>2.783960327632128</v>
      </c>
      <c r="C4" s="2">
        <f>LOG('Balance BCCh'!C7)</f>
        <v>2.674628600050425</v>
      </c>
      <c r="D4" s="2">
        <f>LOG('Balance BCCh'!D7)</f>
        <v>0.9313357852517749</v>
      </c>
      <c r="E4" s="2">
        <f>LOG('Balance BCCh'!F7)</f>
        <v>2.7120811028375176</v>
      </c>
      <c r="F4" s="2">
        <f>LOG('Balance BCCh'!G7)</f>
        <v>2.4620113036756317</v>
      </c>
      <c r="G4" s="2" t="e">
        <f>LOG('Balance BCCh'!#REF!)</f>
        <v>#REF!</v>
      </c>
      <c r="H4" s="2" t="e">
        <f>LOG('Balance BCCh'!#REF!)</f>
        <v>#REF!</v>
      </c>
      <c r="J4" s="2"/>
      <c r="K4" s="2">
        <f>LOG('Balance BCCh'!J7)</f>
        <v>1.9673353667073596</v>
      </c>
      <c r="L4" s="3"/>
      <c r="M4" s="3"/>
    </row>
    <row r="5" spans="1:13" ht="15">
      <c r="A5" s="10">
        <v>1927</v>
      </c>
      <c r="B5" s="2">
        <f>LOG('Balance BCCh'!B8)</f>
        <v>2.723257248128262</v>
      </c>
      <c r="C5" s="2">
        <f>LOG('Balance BCCh'!C8)</f>
        <v>2.66098609177084</v>
      </c>
      <c r="D5" s="2">
        <f>LOG('Balance BCCh'!D8)</f>
        <v>0.9224939043446575</v>
      </c>
      <c r="E5" s="2">
        <f>LOG('Balance BCCh'!F8)</f>
        <v>2.6336419245457567</v>
      </c>
      <c r="F5" s="2">
        <f>LOG('Balance BCCh'!G8)</f>
        <v>2.558391594196204</v>
      </c>
      <c r="G5" s="2" t="e">
        <f>LOG('Balance BCCh'!#REF!)</f>
        <v>#REF!</v>
      </c>
      <c r="H5" s="2" t="e">
        <f>LOG('Balance BCCh'!#REF!)</f>
        <v>#REF!</v>
      </c>
      <c r="J5" s="2"/>
      <c r="K5" s="2">
        <f>LOG('Balance BCCh'!J8)</f>
        <v>1.993817772647184</v>
      </c>
      <c r="L5" s="3"/>
      <c r="M5" s="3"/>
    </row>
    <row r="6" spans="1:13" ht="15">
      <c r="A6" s="10">
        <v>1928</v>
      </c>
      <c r="B6" s="2">
        <f>LOG('Balance BCCh'!B9)</f>
        <v>2.7767030633392467</v>
      </c>
      <c r="C6" s="2">
        <f>LOG('Balance BCCh'!C9)</f>
        <v>2.7040213706980447</v>
      </c>
      <c r="D6" s="2">
        <f>LOG('Balance BCCh'!D9)</f>
        <v>0.3004416451040783</v>
      </c>
      <c r="E6" s="2">
        <f>LOG('Balance BCCh'!F9)</f>
        <v>2.6926068022645504</v>
      </c>
      <c r="F6" s="2">
        <f>LOG('Balance BCCh'!G9)</f>
        <v>2.6429462663860144</v>
      </c>
      <c r="G6" s="2" t="e">
        <f>LOG('Balance BCCh'!#REF!)</f>
        <v>#REF!</v>
      </c>
      <c r="H6" s="2" t="e">
        <f>LOG('Balance BCCh'!#REF!)</f>
        <v>#REF!</v>
      </c>
      <c r="J6" s="2"/>
      <c r="K6" s="2">
        <f>LOG('Balance BCCh'!J9)</f>
        <v>2.02232560953246</v>
      </c>
      <c r="L6" s="3"/>
      <c r="M6" s="3"/>
    </row>
    <row r="7" spans="1:13" ht="15">
      <c r="A7" s="10">
        <v>1929</v>
      </c>
      <c r="B7" s="2">
        <f>LOG('Balance BCCh'!B10)</f>
        <v>2.7885104846199225</v>
      </c>
      <c r="C7" s="2">
        <f>LOG('Balance BCCh'!C10)</f>
        <v>2.651009595997409</v>
      </c>
      <c r="D7" s="2"/>
      <c r="E7" s="2">
        <f>LOG('Balance BCCh'!F10)</f>
        <v>2.7010457196321163</v>
      </c>
      <c r="F7" s="2">
        <f>LOG('Balance BCCh'!G10)</f>
        <v>2.6854995748760384</v>
      </c>
      <c r="G7" s="2" t="e">
        <f>LOG('Balance BCCh'!#REF!)</f>
        <v>#REF!</v>
      </c>
      <c r="H7" s="2" t="e">
        <f>LOG('Balance BCCh'!#REF!)</f>
        <v>#REF!</v>
      </c>
      <c r="J7" s="2"/>
      <c r="K7" s="2">
        <f>LOG('Balance BCCh'!J10)</f>
        <v>2.049560633629055</v>
      </c>
      <c r="L7" s="3"/>
      <c r="M7" s="3"/>
    </row>
    <row r="8" spans="1:13" ht="15">
      <c r="A8" s="10">
        <v>1930</v>
      </c>
      <c r="B8" s="2">
        <f>LOG('Balance BCCh'!B11)</f>
        <v>2.747842898702419</v>
      </c>
      <c r="C8" s="2">
        <f>LOG('Balance BCCh'!C11)</f>
        <v>2.5324852161127707</v>
      </c>
      <c r="D8" s="2"/>
      <c r="E8" s="2">
        <f>LOG('Balance BCCh'!F11)</f>
        <v>2.6500184601627987</v>
      </c>
      <c r="F8" s="2">
        <f>LOG('Balance BCCh'!G11)</f>
        <v>2.5877946758755344</v>
      </c>
      <c r="G8" s="2" t="e">
        <f>LOG('Balance BCCh'!#REF!)</f>
        <v>#REF!</v>
      </c>
      <c r="H8" s="2" t="e">
        <f>LOG('Balance BCCh'!#REF!)</f>
        <v>#REF!</v>
      </c>
      <c r="J8" s="2"/>
      <c r="K8" s="2">
        <f>LOG('Balance BCCh'!J11)</f>
        <v>2.0525114636372708</v>
      </c>
      <c r="L8" s="3"/>
      <c r="M8" s="3"/>
    </row>
    <row r="9" spans="1:13" ht="15">
      <c r="A9" s="10">
        <v>1931</v>
      </c>
      <c r="B9" s="2">
        <f>LOG('Balance BCCh'!B12)</f>
        <v>2.7362298766900643</v>
      </c>
      <c r="C9" s="2">
        <f>LOG('Balance BCCh'!C12)</f>
        <v>2.289028574427751</v>
      </c>
      <c r="D9" s="2">
        <f>LOG('Balance BCCh'!D12)</f>
        <v>2.1151302652118082</v>
      </c>
      <c r="E9" s="2">
        <f>LOG('Balance BCCh'!F12)</f>
        <v>2.6308896280792493</v>
      </c>
      <c r="F9" s="2">
        <f>LOG('Balance BCCh'!G12)</f>
        <v>2.607869450766195</v>
      </c>
      <c r="G9" s="2" t="e">
        <f>LOG('Balance BCCh'!#REF!)</f>
        <v>#REF!</v>
      </c>
      <c r="H9" s="2" t="e">
        <f>LOG('Balance BCCh'!#REF!)</f>
        <v>#REF!</v>
      </c>
      <c r="J9" s="2"/>
      <c r="K9" s="2">
        <f>LOG('Balance BCCh'!J12)</f>
        <v>2.069433874940963</v>
      </c>
      <c r="L9" s="3"/>
      <c r="M9" s="3"/>
    </row>
    <row r="10" spans="1:13" ht="15">
      <c r="A10" s="10">
        <v>1932</v>
      </c>
      <c r="B10" s="2">
        <f>LOG('Balance BCCh'!B13)</f>
        <v>2.983756092108663</v>
      </c>
      <c r="C10" s="2">
        <f>LOG('Balance BCCh'!C13)</f>
        <v>2.186340385818451</v>
      </c>
      <c r="D10" s="2">
        <f>LOG('Balance BCCh'!D13)</f>
        <v>2.277966064068702</v>
      </c>
      <c r="E10" s="2">
        <f>LOG('Balance BCCh'!F13)</f>
        <v>2.9262515218910967</v>
      </c>
      <c r="F10" s="2">
        <f>LOG('Balance BCCh'!G13)</f>
        <v>2.9035339127136934</v>
      </c>
      <c r="G10" s="2" t="e">
        <f>LOG('Balance BCCh'!#REF!)</f>
        <v>#REF!</v>
      </c>
      <c r="H10" s="2" t="e">
        <f>LOG('Balance BCCh'!#REF!)</f>
        <v>#REF!</v>
      </c>
      <c r="J10" s="2"/>
      <c r="K10" s="2">
        <f>LOG('Balance BCCh'!J13)</f>
        <v>2.077239066800047</v>
      </c>
      <c r="L10" s="3"/>
      <c r="M10" s="3"/>
    </row>
    <row r="11" spans="1:13" ht="15">
      <c r="A11" s="10">
        <v>1933</v>
      </c>
      <c r="B11" s="2">
        <f>LOG('Balance BCCh'!B14)</f>
        <v>3.0023707487564337</v>
      </c>
      <c r="C11" s="2">
        <f>LOG('Balance BCCh'!C14)</f>
        <v>2.2227822229315084</v>
      </c>
      <c r="D11" s="2">
        <f>LOG('Balance BCCh'!D14)</f>
        <v>2.8339475995990484</v>
      </c>
      <c r="E11" s="2">
        <f>LOG('Balance BCCh'!F14)</f>
        <v>2.9448985808527666</v>
      </c>
      <c r="F11" s="2">
        <f>LOG('Balance BCCh'!G14)</f>
        <v>2.934511110046333</v>
      </c>
      <c r="G11" s="2" t="e">
        <f>LOG('Balance BCCh'!#REF!)</f>
        <v>#REF!</v>
      </c>
      <c r="H11" s="2" t="e">
        <f>LOG('Balance BCCh'!#REF!)</f>
        <v>#REF!</v>
      </c>
      <c r="J11" s="2"/>
      <c r="K11" s="2">
        <f>LOG('Balance BCCh'!J14)</f>
        <v>2.0956247847830314</v>
      </c>
      <c r="L11" s="3"/>
      <c r="M11" s="3"/>
    </row>
    <row r="12" spans="1:13" ht="15">
      <c r="A12" s="10">
        <v>1934</v>
      </c>
      <c r="B12" s="2">
        <f>LOG('Balance BCCh'!B15)</f>
        <v>2.996875239678375</v>
      </c>
      <c r="C12" s="2">
        <f>LOG('Balance BCCh'!C15)</f>
        <v>2.151726856617684</v>
      </c>
      <c r="D12" s="2">
        <f>LOG('Balance BCCh'!D15)</f>
        <v>2.853464328152322</v>
      </c>
      <c r="E12" s="2">
        <f>LOG('Balance BCCh'!F15)</f>
        <v>2.947733018999884</v>
      </c>
      <c r="F12" s="2">
        <f>LOG('Balance BCCh'!G15)</f>
        <v>2.9323616195597224</v>
      </c>
      <c r="G12" s="2" t="e">
        <f>LOG('Balance BCCh'!#REF!)</f>
        <v>#REF!</v>
      </c>
      <c r="H12" s="2" t="e">
        <f>LOG('Balance BCCh'!#REF!)</f>
        <v>#REF!</v>
      </c>
      <c r="J12" s="2"/>
      <c r="K12" s="2">
        <f>LOG('Balance BCCh'!J15)</f>
        <v>2.0262062647420387</v>
      </c>
      <c r="L12" s="3"/>
      <c r="M12" s="3"/>
    </row>
    <row r="13" spans="1:13" ht="15">
      <c r="A13" s="10">
        <v>1935</v>
      </c>
      <c r="B13" s="2">
        <f>LOG('Balance BCCh'!B16)</f>
        <v>2.995535173308632</v>
      </c>
      <c r="C13" s="2">
        <f>LOG('Balance BCCh'!C16)</f>
        <v>2.1536369761901297</v>
      </c>
      <c r="D13" s="2">
        <f>LOG('Balance BCCh'!D16)</f>
        <v>2.8488068039485754</v>
      </c>
      <c r="E13" s="2">
        <f>LOG('Balance BCCh'!F16)</f>
        <v>2.944246307730014</v>
      </c>
      <c r="F13" s="2">
        <f>LOG('Balance BCCh'!G16)</f>
        <v>2.9341855583782013</v>
      </c>
      <c r="G13" s="2" t="e">
        <f>LOG('Balance BCCh'!#REF!)</f>
        <v>#REF!</v>
      </c>
      <c r="H13" s="2" t="e">
        <f>LOG('Balance BCCh'!#REF!)</f>
        <v>#REF!</v>
      </c>
      <c r="J13" s="2"/>
      <c r="K13" s="2">
        <f>LOG('Balance BCCh'!J16)</f>
        <v>2.0423818707186543</v>
      </c>
      <c r="L13" s="3"/>
      <c r="M13" s="3"/>
    </row>
    <row r="14" spans="1:13" ht="15">
      <c r="A14" s="10">
        <v>1936</v>
      </c>
      <c r="B14" s="2">
        <f>LOG('Balance BCCh'!B17)</f>
        <v>3.0310986164984257</v>
      </c>
      <c r="C14" s="2">
        <f>LOG('Balance BCCh'!C17)</f>
        <v>2.155869958642658</v>
      </c>
      <c r="D14" s="2">
        <f>LOG('Balance BCCh'!D17)</f>
        <v>2.880076440166586</v>
      </c>
      <c r="E14" s="2">
        <f>LOG('Balance BCCh'!F17)</f>
        <v>2.986552899943147</v>
      </c>
      <c r="F14" s="2">
        <f>LOG('Balance BCCh'!G17)</f>
        <v>2.971501911313301</v>
      </c>
      <c r="G14" s="2" t="e">
        <f>LOG('Balance BCCh'!#REF!)</f>
        <v>#REF!</v>
      </c>
      <c r="H14" s="2" t="e">
        <f>LOG('Balance BCCh'!#REF!)</f>
        <v>#REF!</v>
      </c>
      <c r="J14" s="2"/>
      <c r="K14" s="2">
        <f>LOG('Balance BCCh'!J17)</f>
        <v>2.0200377573696744</v>
      </c>
      <c r="L14" s="3"/>
      <c r="M14" s="3"/>
    </row>
    <row r="15" spans="1:13" ht="15">
      <c r="A15" s="10">
        <v>1937</v>
      </c>
      <c r="B15" s="2">
        <f>LOG('Balance BCCh'!B18)</f>
        <v>3.048680531972063</v>
      </c>
      <c r="C15" s="2">
        <f>LOG('Balance BCCh'!C18)</f>
        <v>2.1589531564696958</v>
      </c>
      <c r="D15" s="2">
        <f>LOG('Balance BCCh'!D18)</f>
        <v>2.933933912739785</v>
      </c>
      <c r="E15" s="2">
        <f>LOG('Balance BCCh'!F18)</f>
        <v>2.996038709149363</v>
      </c>
      <c r="F15" s="2">
        <f>LOG('Balance BCCh'!G18)</f>
        <v>2.984098128348463</v>
      </c>
      <c r="G15" s="2" t="e">
        <f>LOG('Balance BCCh'!#REF!)</f>
        <v>#REF!</v>
      </c>
      <c r="H15" s="2" t="e">
        <f>LOG('Balance BCCh'!#REF!)</f>
        <v>#REF!</v>
      </c>
      <c r="J15" s="2"/>
      <c r="K15" s="2">
        <f>LOG('Balance BCCh'!J18)</f>
        <v>2.1061720639826396</v>
      </c>
      <c r="L15" s="3"/>
      <c r="M15" s="3"/>
    </row>
    <row r="16" spans="1:13" ht="15">
      <c r="A16" s="10">
        <v>1938</v>
      </c>
      <c r="B16" s="2">
        <f>LOG('Balance BCCh'!B19)</f>
        <v>3.0863879089771133</v>
      </c>
      <c r="C16" s="2">
        <f>LOG('Balance BCCh'!C19)</f>
        <v>2.1618329731421184</v>
      </c>
      <c r="D16" s="2">
        <f>LOG('Balance BCCh'!D19)</f>
        <v>2.9331568090782074</v>
      </c>
      <c r="E16" s="2">
        <f>LOG('Balance BCCh'!F19)</f>
        <v>3.033666312881906</v>
      </c>
      <c r="F16" s="2">
        <f>LOG('Balance BCCh'!G19)</f>
        <v>3.0194819411093454</v>
      </c>
      <c r="G16" s="2" t="e">
        <f>LOG('Balance BCCh'!#REF!)</f>
        <v>#REF!</v>
      </c>
      <c r="H16" s="2" t="e">
        <f>LOG('Balance BCCh'!#REF!)</f>
        <v>#REF!</v>
      </c>
      <c r="J16" s="2"/>
      <c r="K16" s="2">
        <f>LOG('Balance BCCh'!J19)</f>
        <v>2.1444979910510353</v>
      </c>
      <c r="L16" s="3"/>
      <c r="M16" s="3"/>
    </row>
    <row r="17" spans="1:13" ht="15">
      <c r="A17" s="10">
        <v>1939</v>
      </c>
      <c r="B17" s="2">
        <f>LOG('Balance BCCh'!B20)</f>
        <v>3.131089596811681</v>
      </c>
      <c r="C17" s="2">
        <f>LOG('Balance BCCh'!C20)</f>
        <v>2.1642289987259082</v>
      </c>
      <c r="D17" s="2">
        <f>LOG('Balance BCCh'!D20)</f>
        <v>2.9599587223595734</v>
      </c>
      <c r="E17" s="2">
        <f>LOG('Balance BCCh'!F20)</f>
        <v>3.0805736448037377</v>
      </c>
      <c r="F17" s="2">
        <f>LOG('Balance BCCh'!G20)</f>
        <v>3.067615377475936</v>
      </c>
      <c r="G17" s="2" t="e">
        <f>LOG('Balance BCCh'!#REF!)</f>
        <v>#REF!</v>
      </c>
      <c r="H17" s="2" t="e">
        <f>LOG('Balance BCCh'!#REF!)</f>
        <v>#REF!</v>
      </c>
      <c r="J17" s="2"/>
      <c r="K17" s="2">
        <f>LOG('Balance BCCh'!J20)</f>
        <v>2.1717206521420933</v>
      </c>
      <c r="L17" s="3"/>
      <c r="M17" s="3"/>
    </row>
    <row r="18" spans="1:13" ht="15">
      <c r="A18" s="10">
        <v>1940</v>
      </c>
      <c r="B18" s="2">
        <f>LOG('Balance BCCh'!B21)</f>
        <v>3.20074428871084</v>
      </c>
      <c r="C18" s="2">
        <f>LOG('Balance BCCh'!C21)</f>
        <v>2.16709891136541</v>
      </c>
      <c r="D18" s="2">
        <f>LOG('Balance BCCh'!D21)</f>
        <v>2.9546247192310013</v>
      </c>
      <c r="E18" s="2">
        <f>LOG('Balance BCCh'!F21)</f>
        <v>3.15501487254748</v>
      </c>
      <c r="F18" s="2">
        <f>LOG('Balance BCCh'!G21)</f>
        <v>3.133969969145546</v>
      </c>
      <c r="G18" s="2" t="e">
        <f>LOG('Balance BCCh'!#REF!)</f>
        <v>#REF!</v>
      </c>
      <c r="H18" s="2" t="e">
        <f>LOG('Balance BCCh'!#REF!)</f>
        <v>#REF!</v>
      </c>
      <c r="J18" s="2"/>
      <c r="K18" s="2">
        <f>LOG('Balance BCCh'!J21)</f>
        <v>2.200491537434083</v>
      </c>
      <c r="L18" s="3"/>
      <c r="M18" s="3"/>
    </row>
    <row r="19" spans="1:13" ht="15">
      <c r="A19" s="10">
        <v>1941</v>
      </c>
      <c r="B19" s="2">
        <f>LOG('Balance BCCh'!B22)</f>
        <v>3.3007308068567944</v>
      </c>
      <c r="C19" s="2">
        <f>LOG('Balance BCCh'!C22)</f>
        <v>2.170282908595282</v>
      </c>
      <c r="D19" s="2">
        <f>LOG('Balance BCCh'!D22)</f>
        <v>3.0020611160160087</v>
      </c>
      <c r="E19" s="2">
        <f>LOG('Balance BCCh'!F22)</f>
        <v>3.2618051987674845</v>
      </c>
      <c r="F19" s="2">
        <f>LOG('Balance BCCh'!G22)</f>
        <v>3.238562535048802</v>
      </c>
      <c r="G19" s="2" t="e">
        <f>LOG('Balance BCCh'!#REF!)</f>
        <v>#REF!</v>
      </c>
      <c r="H19" s="2" t="e">
        <f>LOG('Balance BCCh'!#REF!)</f>
        <v>#REF!</v>
      </c>
      <c r="J19" s="2"/>
      <c r="K19" s="2">
        <f>LOG('Balance BCCh'!J22)</f>
        <v>2.233864457706244</v>
      </c>
      <c r="L19" s="3"/>
      <c r="M19" s="3"/>
    </row>
    <row r="20" spans="1:13" ht="15">
      <c r="A20" s="10">
        <v>1942</v>
      </c>
      <c r="B20" s="2">
        <f>LOG('Balance BCCh'!B23)</f>
        <v>3.4308583989019388</v>
      </c>
      <c r="C20" s="2">
        <f>LOG('Balance BCCh'!C23)</f>
        <v>2.4353740016101244</v>
      </c>
      <c r="D20" s="2">
        <f>LOG('Balance BCCh'!D23)</f>
        <v>3.055120630184634</v>
      </c>
      <c r="E20" s="2">
        <f>LOG('Balance BCCh'!F23)</f>
        <v>3.398412230984035</v>
      </c>
      <c r="F20" s="2">
        <f>LOG('Balance BCCh'!G23)</f>
        <v>3.337593150928647</v>
      </c>
      <c r="G20" s="2" t="e">
        <f>LOG('Balance BCCh'!#REF!)</f>
        <v>#REF!</v>
      </c>
      <c r="H20" s="2" t="e">
        <f>LOG('Balance BCCh'!#REF!)</f>
        <v>#REF!</v>
      </c>
      <c r="J20" s="2"/>
      <c r="K20" s="2">
        <f>LOG('Balance BCCh'!J23)</f>
        <v>2.2881154126945358</v>
      </c>
      <c r="L20" s="3"/>
      <c r="M20" s="3"/>
    </row>
    <row r="21" spans="1:13" ht="15">
      <c r="A21" s="10">
        <v>1943</v>
      </c>
      <c r="B21" s="2">
        <f>LOG('Balance BCCh'!B24)</f>
        <v>3.5216927951399586</v>
      </c>
      <c r="C21" s="2">
        <f>LOG('Balance BCCh'!C24)</f>
        <v>2.526218608501905</v>
      </c>
      <c r="D21" s="2">
        <f>LOG('Balance BCCh'!D24)</f>
        <v>3.081582595136397</v>
      </c>
      <c r="E21" s="2">
        <f>LOG('Balance BCCh'!F24)</f>
        <v>3.49290242925253</v>
      </c>
      <c r="F21" s="2">
        <f>LOG('Balance BCCh'!G24)</f>
        <v>3.431079706896781</v>
      </c>
      <c r="G21" s="2" t="e">
        <f>LOG('Balance BCCh'!#REF!)</f>
        <v>#REF!</v>
      </c>
      <c r="H21" s="2" t="e">
        <f>LOG('Balance BCCh'!#REF!)</f>
        <v>#REF!</v>
      </c>
      <c r="J21" s="2"/>
      <c r="K21" s="2">
        <f>LOG('Balance BCCh'!J24)</f>
        <v>2.3288400063141754</v>
      </c>
      <c r="L21" s="3"/>
      <c r="M21" s="3"/>
    </row>
    <row r="22" spans="1:13" ht="15">
      <c r="A22" s="10">
        <v>1944</v>
      </c>
      <c r="B22" s="2">
        <f>LOG('Balance BCCh'!B25)</f>
        <v>3.5955253345850227</v>
      </c>
      <c r="C22" s="2">
        <f>LOG('Balance BCCh'!C25)</f>
        <v>2.599830313983735</v>
      </c>
      <c r="D22" s="2">
        <f>LOG('Balance BCCh'!D25)</f>
        <v>3.087310879263198</v>
      </c>
      <c r="E22" s="2">
        <f>LOG('Balance BCCh'!F25)</f>
        <v>3.567526743348052</v>
      </c>
      <c r="F22" s="2">
        <f>LOG('Balance BCCh'!G25)</f>
        <v>3.485517847352314</v>
      </c>
      <c r="G22" s="2" t="e">
        <f>LOG('Balance BCCh'!#REF!)</f>
        <v>#REF!</v>
      </c>
      <c r="H22" s="2" t="e">
        <f>LOG('Balance BCCh'!#REF!)</f>
        <v>#REF!</v>
      </c>
      <c r="J22" s="2"/>
      <c r="K22" s="2">
        <f>LOG('Balance BCCh'!J25)</f>
        <v>2.390953115421564</v>
      </c>
      <c r="L22" s="3"/>
      <c r="M22" s="3"/>
    </row>
    <row r="23" spans="1:13" ht="15">
      <c r="A23" s="10">
        <v>1945</v>
      </c>
      <c r="B23" s="2">
        <f>LOG('Balance BCCh'!B26)</f>
        <v>3.6399649026261653</v>
      </c>
      <c r="C23" s="2">
        <f>LOG('Balance BCCh'!C26)</f>
        <v>2.6761880772794315</v>
      </c>
      <c r="D23" s="2">
        <f>LOG('Balance BCCh'!D26)</f>
        <v>2.969980791084276</v>
      </c>
      <c r="E23" s="2">
        <f>LOG('Balance BCCh'!F26)</f>
        <v>3.6138681734380853</v>
      </c>
      <c r="F23" s="2">
        <f>LOG('Balance BCCh'!G26)</f>
        <v>3.537009573022706</v>
      </c>
      <c r="G23" s="2" t="e">
        <f>LOG('Balance BCCh'!#REF!)</f>
        <v>#REF!</v>
      </c>
      <c r="H23" s="2" t="e">
        <f>LOG('Balance BCCh'!#REF!)</f>
        <v>#REF!</v>
      </c>
      <c r="J23" s="2"/>
      <c r="K23" s="2">
        <f>LOG('Balance BCCh'!J26)</f>
        <v>2.4057836431958677</v>
      </c>
      <c r="L23" s="3"/>
      <c r="M23" s="3"/>
    </row>
    <row r="24" spans="1:13" ht="15">
      <c r="A24" s="10">
        <v>1946</v>
      </c>
      <c r="B24" s="2">
        <f>LOG('Balance BCCh'!B27)</f>
        <v>3.7025239695914114</v>
      </c>
      <c r="C24" s="2">
        <f>LOG('Balance BCCh'!C27)</f>
        <v>2.5027887487445457</v>
      </c>
      <c r="D24" s="2">
        <f>LOG('Balance BCCh'!D27)</f>
        <v>3.048912318589303</v>
      </c>
      <c r="E24" s="2">
        <f>LOG('Balance BCCh'!F27)</f>
        <v>3.6783838035639516</v>
      </c>
      <c r="F24" s="2">
        <f>LOG('Balance BCCh'!G27)</f>
        <v>3.617038695750428</v>
      </c>
      <c r="G24" s="2" t="e">
        <f>LOG('Balance BCCh'!#REF!)</f>
        <v>#REF!</v>
      </c>
      <c r="H24" s="2" t="e">
        <f>LOG('Balance BCCh'!#REF!)</f>
        <v>#REF!</v>
      </c>
      <c r="J24" s="2"/>
      <c r="K24" s="2">
        <f>LOG('Balance BCCh'!J27)</f>
        <v>2.435465735947544</v>
      </c>
      <c r="L24" s="3"/>
      <c r="M24" s="3"/>
    </row>
    <row r="25" spans="1:13" ht="15">
      <c r="A25" s="10">
        <v>1947</v>
      </c>
      <c r="B25" s="2">
        <f>LOG('Balance BCCh'!B28)</f>
        <v>3.88169756704388</v>
      </c>
      <c r="C25" s="2">
        <f>LOG('Balance BCCh'!C28)</f>
        <v>2.4704517205752548</v>
      </c>
      <c r="D25" s="2">
        <f>LOG('Balance BCCh'!D28)</f>
        <v>3.0712730586916384</v>
      </c>
      <c r="E25" s="2">
        <f>LOG('Balance BCCh'!F28)</f>
        <v>3.8652025789255644</v>
      </c>
      <c r="F25" s="2">
        <f>LOG('Balance BCCh'!G28)</f>
        <v>3.7115541682501694</v>
      </c>
      <c r="G25" s="2" t="e">
        <f>LOG('Balance BCCh'!#REF!)</f>
        <v>#REF!</v>
      </c>
      <c r="H25" s="2" t="e">
        <f>LOG('Balance BCCh'!#REF!)</f>
        <v>#REF!</v>
      </c>
      <c r="J25" s="2"/>
      <c r="K25" s="2">
        <f>LOG('Balance BCCh'!J28)</f>
        <v>2.4530438725046366</v>
      </c>
      <c r="L25" s="3"/>
      <c r="M25" s="3"/>
    </row>
    <row r="26" spans="1:13" ht="15">
      <c r="A26" s="10">
        <v>1948</v>
      </c>
      <c r="B26" s="2">
        <f>LOG('Balance BCCh'!B29)</f>
        <v>4.004457746636165</v>
      </c>
      <c r="C26" s="2">
        <f>LOG('Balance BCCh'!C29)</f>
        <v>3.3395647207441748</v>
      </c>
      <c r="D26" s="2">
        <f>LOG('Balance BCCh'!D29)</f>
        <v>3.160366773636016</v>
      </c>
      <c r="E26" s="2">
        <f>LOG('Balance BCCh'!F29)</f>
        <v>3.9914192051569994</v>
      </c>
      <c r="F26" s="2">
        <f>LOG('Balance BCCh'!G29)</f>
        <v>3.78511619502192</v>
      </c>
      <c r="G26" s="2" t="e">
        <f>LOG('Balance BCCh'!#REF!)</f>
        <v>#REF!</v>
      </c>
      <c r="H26" s="2" t="e">
        <f>LOG('Balance BCCh'!#REF!)</f>
        <v>#REF!</v>
      </c>
      <c r="J26" s="2"/>
      <c r="K26" s="2">
        <f>LOG('Balance BCCh'!J29)</f>
        <v>2.4753994877399164</v>
      </c>
      <c r="L26" s="3"/>
      <c r="M26" s="3"/>
    </row>
    <row r="27" spans="1:13" ht="15">
      <c r="A27" s="10">
        <v>1949</v>
      </c>
      <c r="B27" s="2">
        <f>LOG('Balance BCCh'!B30)</f>
        <v>4.052873392715287</v>
      </c>
      <c r="C27" s="2">
        <f>LOG('Balance BCCh'!C30)</f>
        <v>3.272570006255699</v>
      </c>
      <c r="D27" s="2">
        <f>LOG('Balance BCCh'!D30)</f>
        <v>3.289926135553469</v>
      </c>
      <c r="E27" s="2">
        <f>LOG('Balance BCCh'!F30)</f>
        <v>4.038340545244968</v>
      </c>
      <c r="F27" s="2">
        <f>LOG('Balance BCCh'!G30)</f>
        <v>3.876275588677879</v>
      </c>
      <c r="G27" s="2" t="e">
        <f>LOG('Balance BCCh'!#REF!)</f>
        <v>#REF!</v>
      </c>
      <c r="H27" s="2" t="e">
        <f>LOG('Balance BCCh'!#REF!)</f>
        <v>#REF!</v>
      </c>
      <c r="J27" s="2"/>
      <c r="K27" s="2">
        <f>LOG('Balance BCCh'!J30)</f>
        <v>2.5701936360228954</v>
      </c>
      <c r="L27" s="3"/>
      <c r="M27" s="3"/>
    </row>
    <row r="28" spans="1:13" ht="15">
      <c r="A28" s="10">
        <v>1950</v>
      </c>
      <c r="B28" s="2">
        <f>LOG('Balance BCCh'!B31)</f>
        <v>4.1367443734495986</v>
      </c>
      <c r="C28" s="2">
        <f>LOG('Balance BCCh'!C31)</f>
        <v>3.3427186897955448</v>
      </c>
      <c r="D28" s="2">
        <f>LOG('Balance BCCh'!D31)</f>
        <v>3.391937417008294</v>
      </c>
      <c r="E28" s="2">
        <f>LOG('Balance BCCh'!F31)</f>
        <v>4.123842563137928</v>
      </c>
      <c r="F28" s="2">
        <f>LOG('Balance BCCh'!G31)</f>
        <v>3.9394693308435302</v>
      </c>
      <c r="G28" s="2" t="e">
        <f>LOG('Balance BCCh'!#REF!)</f>
        <v>#REF!</v>
      </c>
      <c r="H28" s="2" t="e">
        <f>LOG('Balance BCCh'!#REF!)</f>
        <v>#REF!</v>
      </c>
      <c r="J28" s="2"/>
      <c r="K28" s="2">
        <f>LOG('Balance BCCh'!J31)</f>
        <v>2.6031757793149044</v>
      </c>
      <c r="L28" s="3"/>
      <c r="M28" s="3"/>
    </row>
    <row r="29" spans="1:13" ht="15">
      <c r="A29" s="10">
        <v>1951</v>
      </c>
      <c r="B29" s="2">
        <f>LOG('Balance BCCh'!B32)</f>
        <v>4.2373378770041406</v>
      </c>
      <c r="C29" s="2">
        <f>LOG('Balance BCCh'!C32)</f>
        <v>3.3584819418823426</v>
      </c>
      <c r="D29" s="2">
        <f>LOG('Balance BCCh'!D32)</f>
        <v>3.6174334754239297</v>
      </c>
      <c r="E29" s="2">
        <f>LOG('Balance BCCh'!F32)</f>
        <v>4.22849798698475</v>
      </c>
      <c r="F29" s="2">
        <f>LOG('Balance BCCh'!G32)</f>
        <v>4.038143089969942</v>
      </c>
      <c r="G29" s="2" t="e">
        <f>LOG('Balance BCCh'!#REF!)</f>
        <v>#REF!</v>
      </c>
      <c r="H29" s="2" t="e">
        <f>LOG('Balance BCCh'!#REF!)</f>
        <v>#REF!</v>
      </c>
      <c r="J29" s="2"/>
      <c r="K29" s="2">
        <f>LOG('Balance BCCh'!J32)</f>
        <v>2.541587979667266</v>
      </c>
      <c r="L29" s="3"/>
      <c r="M29" s="3"/>
    </row>
    <row r="30" spans="1:13" ht="15">
      <c r="A30" s="10">
        <v>1952</v>
      </c>
      <c r="B30" s="2">
        <f>LOG('Balance BCCh'!B33)</f>
        <v>4.357923970454206</v>
      </c>
      <c r="C30" s="2">
        <f>LOG('Balance BCCh'!C33)</f>
        <v>3.437161012266799</v>
      </c>
      <c r="D30" s="2">
        <f>LOG('Balance BCCh'!D33)</f>
        <v>3.9527680405281087</v>
      </c>
      <c r="E30" s="2">
        <f>LOG('Balance BCCh'!F33)</f>
        <v>4.34781026481151</v>
      </c>
      <c r="F30" s="2">
        <f>LOG('Balance BCCh'!G33)</f>
        <v>4.1906957924917325</v>
      </c>
      <c r="G30" s="2" t="e">
        <f>LOG('Balance BCCh'!#REF!)</f>
        <v>#REF!</v>
      </c>
      <c r="H30" s="2" t="e">
        <f>LOG('Balance BCCh'!#REF!)</f>
        <v>#REF!</v>
      </c>
      <c r="J30" s="2"/>
      <c r="K30" s="2">
        <f>LOG('Balance BCCh'!J33)</f>
        <v>2.7200029292434333</v>
      </c>
      <c r="L30" s="3"/>
      <c r="M30" s="3"/>
    </row>
    <row r="31" spans="1:13" ht="15">
      <c r="A31" s="10">
        <v>1953</v>
      </c>
      <c r="B31" s="2">
        <f>LOG('Balance BCCh'!B34)</f>
        <v>4.66338116319437</v>
      </c>
      <c r="C31" s="2">
        <f>LOG('Balance BCCh'!C34)</f>
        <v>3.9872913677887176</v>
      </c>
      <c r="D31" s="2">
        <f>LOG('Balance BCCh'!D34)</f>
        <v>3.9284417375514704</v>
      </c>
      <c r="E31" s="2">
        <f>LOG('Balance BCCh'!F34)</f>
        <v>4.656471275074844</v>
      </c>
      <c r="F31" s="2">
        <f>LOG('Balance BCCh'!G34)</f>
        <v>4.374400037802237</v>
      </c>
      <c r="G31" s="2" t="e">
        <f>LOG('Balance BCCh'!#REF!)</f>
        <v>#REF!</v>
      </c>
      <c r="H31" s="2" t="e">
        <f>LOG('Balance BCCh'!#REF!)</f>
        <v>#REF!</v>
      </c>
      <c r="J31" s="2"/>
      <c r="K31" s="2">
        <f>LOG('Balance BCCh'!J34)</f>
        <v>2.861617504292323</v>
      </c>
      <c r="L31" s="3"/>
      <c r="M31" s="3"/>
    </row>
    <row r="32" spans="1:13" ht="15">
      <c r="A32" s="10">
        <v>1954</v>
      </c>
      <c r="B32" s="2">
        <f>LOG('Balance BCCh'!B35)</f>
        <v>4.808765657703776</v>
      </c>
      <c r="C32" s="2">
        <f>LOG('Balance BCCh'!C35)</f>
        <v>4.009521643491112</v>
      </c>
      <c r="D32" s="2">
        <f>LOG('Balance BCCh'!D35)</f>
        <v>4.227086094331438</v>
      </c>
      <c r="E32" s="2">
        <f>LOG('Balance BCCh'!F35)</f>
        <v>4.803008994449535</v>
      </c>
      <c r="F32" s="2">
        <f>LOG('Balance BCCh'!G35)</f>
        <v>4.517077077735613</v>
      </c>
      <c r="G32" s="2" t="e">
        <f>LOG('Balance BCCh'!#REF!)</f>
        <v>#REF!</v>
      </c>
      <c r="H32" s="2" t="e">
        <f>LOG('Balance BCCh'!#REF!)</f>
        <v>#REF!</v>
      </c>
      <c r="J32" s="2"/>
      <c r="K32" s="2">
        <f>LOG('Balance BCCh'!J35)</f>
        <v>2.9282770195856997</v>
      </c>
      <c r="L32" s="3"/>
      <c r="M32" s="3"/>
    </row>
    <row r="33" spans="1:13" ht="15">
      <c r="A33" s="10">
        <v>1955</v>
      </c>
      <c r="B33" s="2">
        <f>LOG('Balance BCCh'!B36)</f>
        <v>4.937614900362845</v>
      </c>
      <c r="C33" s="2">
        <f>LOG('Balance BCCh'!C36)</f>
        <v>3.6561348230939705</v>
      </c>
      <c r="D33" s="2">
        <f>LOG('Balance BCCh'!D36)</f>
        <v>4.375672994620384</v>
      </c>
      <c r="E33" s="2">
        <f>LOG('Balance BCCh'!F36)</f>
        <v>4.931676849403411</v>
      </c>
      <c r="F33" s="2">
        <f>LOG('Balance BCCh'!G36)</f>
        <v>4.724669014903952</v>
      </c>
      <c r="G33" s="2" t="e">
        <f>LOG('Balance BCCh'!#REF!)</f>
        <v>#REF!</v>
      </c>
      <c r="H33" s="2" t="e">
        <f>LOG('Balance BCCh'!#REF!)</f>
        <v>#REF!</v>
      </c>
      <c r="J33" s="2"/>
      <c r="K33" s="2">
        <f>LOG('Balance BCCh'!J36)</f>
        <v>3.0705088668256795</v>
      </c>
      <c r="L33" s="3"/>
      <c r="M33" s="3"/>
    </row>
    <row r="34" spans="1:13" ht="15">
      <c r="A34" s="10">
        <v>1956</v>
      </c>
      <c r="B34" s="2">
        <f>LOG('Balance BCCh'!B37)</f>
        <v>5.11718762789269</v>
      </c>
      <c r="C34" s="2">
        <f>LOG('Balance BCCh'!C37)</f>
        <v>4.256922316380038</v>
      </c>
      <c r="D34" s="2">
        <f>LOG('Balance BCCh'!D37)</f>
        <v>4.478982065136018</v>
      </c>
      <c r="E34" s="2">
        <f>LOG('Balance BCCh'!F37)</f>
        <v>5.107770905712952</v>
      </c>
      <c r="F34" s="2">
        <f>LOG('Balance BCCh'!G37)</f>
        <v>4.876408380142575</v>
      </c>
      <c r="G34" s="2" t="e">
        <f>LOG('Balance BCCh'!#REF!)</f>
        <v>#REF!</v>
      </c>
      <c r="H34" s="2" t="e">
        <f>LOG('Balance BCCh'!#REF!)</f>
        <v>#REF!</v>
      </c>
      <c r="J34" s="2"/>
      <c r="K34" s="2">
        <f>LOG('Balance BCCh'!J37)</f>
        <v>3.4486032206864397</v>
      </c>
      <c r="L34" s="3"/>
      <c r="M34" s="3"/>
    </row>
    <row r="35" spans="1:13" ht="15">
      <c r="A35" s="10">
        <v>1957</v>
      </c>
      <c r="B35" s="2">
        <f>LOG('Balance BCCh'!B38)</f>
        <v>5.205561345883492</v>
      </c>
      <c r="C35" s="2">
        <f>LOG('Balance BCCh'!C38)</f>
        <v>3.898646979608322</v>
      </c>
      <c r="D35" s="2">
        <f>LOG('Balance BCCh'!D38)</f>
        <v>4.638911784611424</v>
      </c>
      <c r="E35" s="2">
        <f>LOG('Balance BCCh'!F38)</f>
        <v>5.193689248250252</v>
      </c>
      <c r="F35" s="2">
        <f>LOG('Balance BCCh'!G38)</f>
        <v>4.97639125106891</v>
      </c>
      <c r="G35" s="2" t="e">
        <f>LOG('Balance BCCh'!#REF!)</f>
        <v>#REF!</v>
      </c>
      <c r="H35" s="2" t="e">
        <f>LOG('Balance BCCh'!#REF!)</f>
        <v>#REF!</v>
      </c>
      <c r="J35" s="2"/>
      <c r="K35" s="2">
        <f>LOG('Balance BCCh'!J38)</f>
        <v>3.636381967737783</v>
      </c>
      <c r="L35" s="3"/>
      <c r="M35" s="3"/>
    </row>
    <row r="36" spans="1:13" ht="15">
      <c r="A36" s="10">
        <v>1958</v>
      </c>
      <c r="B36" s="2">
        <f>LOG('Balance BCCh'!B39)</f>
        <v>5.32376657560877</v>
      </c>
      <c r="C36" s="2">
        <f>LOG('Balance BCCh'!C39)</f>
        <v>3.9671814324110617</v>
      </c>
      <c r="D36" s="2">
        <f>LOG('Balance BCCh'!D39)</f>
        <v>4.789357931056996</v>
      </c>
      <c r="E36" s="2">
        <f>LOG('Balance BCCh'!F39)</f>
        <v>5.308823517225425</v>
      </c>
      <c r="F36" s="2">
        <f>LOG('Balance BCCh'!G39)</f>
        <v>5.104900040982396</v>
      </c>
      <c r="G36" s="2" t="e">
        <f>LOG('Balance BCCh'!#REF!)</f>
        <v>#REF!</v>
      </c>
      <c r="H36" s="2" t="e">
        <f>LOG('Balance BCCh'!#REF!)</f>
        <v>#REF!</v>
      </c>
      <c r="J36" s="2"/>
      <c r="K36" s="2">
        <f>LOG('Balance BCCh'!J39)</f>
        <v>3.852971651328007</v>
      </c>
      <c r="L36" s="3"/>
      <c r="M36" s="3"/>
    </row>
    <row r="37" spans="1:13" ht="15">
      <c r="A37" s="10">
        <v>1959</v>
      </c>
      <c r="B37" s="2">
        <f>LOG('Balance BCCh'!B40)</f>
        <v>5.865019940305311</v>
      </c>
      <c r="C37" s="2">
        <f>LOG('Balance BCCh'!C40)</f>
        <v>5.187982306180083</v>
      </c>
      <c r="D37" s="2">
        <f>LOG('Balance BCCh'!D40)</f>
        <v>5.0807309575279165</v>
      </c>
      <c r="E37" s="2">
        <f>LOG('Balance BCCh'!F40)</f>
        <v>5.857354725104808</v>
      </c>
      <c r="F37" s="2">
        <f>LOG('Balance BCCh'!G40)</f>
        <v>5.265336777967918</v>
      </c>
      <c r="G37" s="2" t="e">
        <f>LOG('Balance BCCh'!#REF!)</f>
        <v>#REF!</v>
      </c>
      <c r="H37" s="2" t="e">
        <f>LOG('Balance BCCh'!#REF!)</f>
        <v>#REF!</v>
      </c>
      <c r="J37" s="2"/>
      <c r="K37" s="2">
        <f>LOG('Balance BCCh'!J40)</f>
        <v>4.107933010611984</v>
      </c>
      <c r="L37" s="3"/>
      <c r="M37" s="3"/>
    </row>
    <row r="38" spans="1:13" ht="15">
      <c r="A38" s="10">
        <v>1960</v>
      </c>
      <c r="B38" s="2">
        <f>LOG('Balance BCCh'!B41)</f>
        <v>5.772794991120342</v>
      </c>
      <c r="C38" s="2">
        <f>LOG('Balance BCCh'!C41)</f>
        <v>5.129439166198767</v>
      </c>
      <c r="D38" s="2">
        <f>LOG('Balance BCCh'!D41)</f>
        <v>5.338549356952911</v>
      </c>
      <c r="E38" s="2">
        <f>LOG('Balance BCCh'!F41)</f>
        <v>5.7626601864564</v>
      </c>
      <c r="F38" s="2">
        <f>LOG('Balance BCCh'!G41)</f>
        <v>5.430583746780263</v>
      </c>
      <c r="G38" s="2" t="e">
        <f>LOG('Balance BCCh'!#REF!)</f>
        <v>#REF!</v>
      </c>
      <c r="H38" s="2" t="e">
        <f>LOG('Balance BCCh'!#REF!)</f>
        <v>#REF!</v>
      </c>
      <c r="J38" s="2"/>
      <c r="K38" s="2">
        <f>LOG('Balance BCCh'!J41)</f>
        <v>4.135768514567823</v>
      </c>
      <c r="L38" s="3"/>
      <c r="M38" s="3"/>
    </row>
    <row r="39" spans="1:13" ht="15">
      <c r="A39" s="10">
        <v>1961</v>
      </c>
      <c r="B39" s="2">
        <f>LOG('Balance BCCh'!B42)</f>
        <v>5.8512583487190755</v>
      </c>
      <c r="C39" s="2">
        <f>LOG('Balance BCCh'!C42)</f>
        <v>4.999487229917472</v>
      </c>
      <c r="D39" s="2">
        <f>LOG('Balance BCCh'!D42)</f>
        <v>5.504314107592299</v>
      </c>
      <c r="E39" s="2">
        <f>LOG('Balance BCCh'!F42)</f>
        <v>5.842475686004103</v>
      </c>
      <c r="F39" s="2">
        <f>LOG('Balance BCCh'!G42)</f>
        <v>5.471780310842417</v>
      </c>
      <c r="G39" s="2" t="e">
        <f>LOG('Balance BCCh'!#REF!)</f>
        <v>#REF!</v>
      </c>
      <c r="H39" s="2" t="e">
        <f>LOG('Balance BCCh'!#REF!)</f>
        <v>#REF!</v>
      </c>
      <c r="J39" s="2"/>
      <c r="K39" s="2">
        <f>LOG('Balance BCCh'!J42)</f>
        <v>4.152716311106409</v>
      </c>
      <c r="L39" s="3"/>
      <c r="M39" s="3"/>
    </row>
    <row r="40" spans="1:13" ht="15">
      <c r="A40" s="10">
        <v>1962</v>
      </c>
      <c r="B40" s="2">
        <f>LOG('Balance BCCh'!B43)</f>
        <v>6.128310668776697</v>
      </c>
      <c r="C40" s="2">
        <f>LOG('Balance BCCh'!C43)</f>
        <v>5.321815039059041</v>
      </c>
      <c r="D40" s="2">
        <f>LOG('Balance BCCh'!D43)</f>
        <v>5.820116300509337</v>
      </c>
      <c r="E40" s="2">
        <f>LOG('Balance BCCh'!F43)</f>
        <v>6.123362781372624</v>
      </c>
      <c r="F40" s="2">
        <f>LOG('Balance BCCh'!G43)</f>
        <v>5.7131343091578035</v>
      </c>
      <c r="G40" s="2" t="e">
        <f>LOG('Balance BCCh'!#REF!)</f>
        <v>#REF!</v>
      </c>
      <c r="H40" s="2" t="e">
        <f>LOG('Balance BCCh'!#REF!)</f>
        <v>#REF!</v>
      </c>
      <c r="J40" s="2"/>
      <c r="K40" s="2">
        <f>LOG('Balance BCCh'!J43)</f>
        <v>4.182474570667097</v>
      </c>
      <c r="L40" s="3"/>
      <c r="M40" s="3"/>
    </row>
    <row r="41" spans="1:13" ht="15">
      <c r="A41" s="10">
        <v>1963</v>
      </c>
      <c r="B41" s="2">
        <f>LOG('Balance BCCh'!B44)</f>
        <v>6.19801324940151</v>
      </c>
      <c r="C41" s="2">
        <f>LOG('Balance BCCh'!C44)</f>
        <v>5.422263421888473</v>
      </c>
      <c r="D41" s="2">
        <f>LOG('Balance BCCh'!D44)</f>
        <v>5.973902885503264</v>
      </c>
      <c r="E41" s="2">
        <f>LOG('Balance BCCh'!F44)</f>
        <v>6.19278894835553</v>
      </c>
      <c r="F41" s="2">
        <f>LOG('Balance BCCh'!G44)</f>
        <v>5.745751170357538</v>
      </c>
      <c r="G41" s="2" t="e">
        <f>LOG('Balance BCCh'!#REF!)</f>
        <v>#REF!</v>
      </c>
      <c r="H41" s="2" t="e">
        <f>LOG('Balance BCCh'!#REF!)</f>
        <v>#REF!</v>
      </c>
      <c r="J41" s="2"/>
      <c r="K41" s="2">
        <f>LOG('Balance BCCh'!J44)</f>
        <v>4.275647600969059</v>
      </c>
      <c r="L41" s="3"/>
      <c r="M41" s="3"/>
    </row>
    <row r="42" spans="1:13" ht="15">
      <c r="A42" s="10">
        <v>1964</v>
      </c>
      <c r="B42" s="2">
        <f>LOG('Balance BCCh'!B45)</f>
        <v>6.37064190995405</v>
      </c>
      <c r="C42" s="2">
        <f>LOG('Balance BCCh'!C45)</f>
        <v>5.472733549549894</v>
      </c>
      <c r="D42" s="2">
        <f>LOG('Balance BCCh'!D45)</f>
        <v>6.1497813293487</v>
      </c>
      <c r="E42" s="2">
        <f>LOG('Balance BCCh'!F45)</f>
        <v>6.366536507118533</v>
      </c>
      <c r="F42" s="2">
        <f>LOG('Balance BCCh'!G45)</f>
        <v>5.962122991955724</v>
      </c>
      <c r="G42" s="2" t="e">
        <f>LOG('Balance BCCh'!#REF!)</f>
        <v>#REF!</v>
      </c>
      <c r="H42" s="2" t="e">
        <f>LOG('Balance BCCh'!#REF!)</f>
        <v>#REF!</v>
      </c>
      <c r="J42" s="2"/>
      <c r="K42" s="2">
        <f>LOG('Balance BCCh'!J45)</f>
        <v>4.344162292194218</v>
      </c>
      <c r="L42" s="3"/>
      <c r="M42" s="3"/>
    </row>
    <row r="43" spans="1:13" ht="15">
      <c r="A43" s="10">
        <v>1965</v>
      </c>
      <c r="B43" s="2">
        <f>LOG('Balance BCCh'!B46)</f>
        <v>6.528251162639401</v>
      </c>
      <c r="C43" s="2">
        <f>LOG('Balance BCCh'!C46)</f>
        <v>5.739921127145608</v>
      </c>
      <c r="D43" s="2">
        <f>LOG('Balance BCCh'!D46)</f>
        <v>6.319312555250151</v>
      </c>
      <c r="E43" s="2">
        <f>LOG('Balance BCCh'!F46)</f>
        <v>6.5247738345125885</v>
      </c>
      <c r="F43" s="2">
        <f>LOG('Balance BCCh'!G46)</f>
        <v>6.110683258701139</v>
      </c>
      <c r="G43" s="2" t="e">
        <f>LOG('Balance BCCh'!#REF!)</f>
        <v>#REF!</v>
      </c>
      <c r="H43" s="2" t="e">
        <f>LOG('Balance BCCh'!#REF!)</f>
        <v>#REF!</v>
      </c>
      <c r="J43" s="2"/>
      <c r="K43" s="2">
        <f>LOG('Balance BCCh'!J46)</f>
        <v>4.4299750207856885</v>
      </c>
      <c r="L43" s="3"/>
      <c r="M43" s="3"/>
    </row>
    <row r="44" spans="1:13" ht="15">
      <c r="A44" s="10">
        <v>1966</v>
      </c>
      <c r="B44" s="2">
        <f>LOG('Balance BCCh'!B47)</f>
        <v>6.682304336633725</v>
      </c>
      <c r="C44" s="2">
        <f>LOG('Balance BCCh'!C47)</f>
        <v>5.924298880573252</v>
      </c>
      <c r="D44" s="2">
        <f>LOG('Balance BCCh'!D47)</f>
        <v>6.471151481730532</v>
      </c>
      <c r="E44" s="2">
        <f>LOG('Balance BCCh'!F47)</f>
        <v>6.678591028518149</v>
      </c>
      <c r="F44" s="2">
        <f>LOG('Balance BCCh'!G47)</f>
        <v>6.312013406844404</v>
      </c>
      <c r="G44" s="2" t="e">
        <f>LOG('Balance BCCh'!#REF!)</f>
        <v>#REF!</v>
      </c>
      <c r="H44" s="2" t="e">
        <f>LOG('Balance BCCh'!#REF!)</f>
        <v>#REF!</v>
      </c>
      <c r="J44" s="2"/>
      <c r="K44" s="2">
        <f>LOG('Balance BCCh'!J47)</f>
        <v>4.612425680927266</v>
      </c>
      <c r="L44" s="3"/>
      <c r="M44" s="3"/>
    </row>
    <row r="45" spans="1:13" ht="15">
      <c r="A45" s="10">
        <v>1967</v>
      </c>
      <c r="B45" s="2">
        <f>LOG('Balance BCCh'!B48)</f>
        <v>6.797352694374427</v>
      </c>
      <c r="C45" s="2">
        <f>LOG('Balance BCCh'!C48)</f>
        <v>5.863658148782354</v>
      </c>
      <c r="D45" s="2">
        <f>LOG('Balance BCCh'!D48)</f>
        <v>6.6007482453043576</v>
      </c>
      <c r="E45" s="2">
        <f>LOG('Balance BCCh'!F48)</f>
        <v>6.790924752807919</v>
      </c>
      <c r="F45" s="2">
        <f>LOG('Balance BCCh'!G48)</f>
        <v>6.3982760746554455</v>
      </c>
      <c r="G45" s="2" t="e">
        <f>LOG('Balance BCCh'!#REF!)</f>
        <v>#REF!</v>
      </c>
      <c r="H45" s="2" t="e">
        <f>LOG('Balance BCCh'!#REF!)</f>
        <v>#REF!</v>
      </c>
      <c r="J45" s="2"/>
      <c r="K45" s="2">
        <f>LOG('Balance BCCh'!J48)</f>
        <v>4.964430296552833</v>
      </c>
      <c r="L45" s="3"/>
      <c r="M45" s="3"/>
    </row>
    <row r="46" spans="1:13" ht="15">
      <c r="A46" s="10">
        <v>1968</v>
      </c>
      <c r="B46" s="2">
        <f>LOG('Balance BCCh'!B49)</f>
        <v>6.942855028973479</v>
      </c>
      <c r="C46" s="2">
        <f>LOG('Balance BCCh'!C49)</f>
        <v>6.254741037893455</v>
      </c>
      <c r="D46" s="2">
        <f>LOG('Balance BCCh'!D49)</f>
        <v>6.7048569322257014</v>
      </c>
      <c r="E46" s="2">
        <f>LOG('Balance BCCh'!F49)</f>
        <v>6.930227355398131</v>
      </c>
      <c r="F46" s="2">
        <f>LOG('Balance BCCh'!G49)</f>
        <v>6.53759467679424</v>
      </c>
      <c r="G46" s="2" t="e">
        <f>LOG('Balance BCCh'!#REF!)</f>
        <v>#REF!</v>
      </c>
      <c r="H46" s="2" t="e">
        <f>LOG('Balance BCCh'!#REF!)</f>
        <v>#REF!</v>
      </c>
      <c r="J46" s="2"/>
      <c r="K46" s="2">
        <f>LOG('Balance BCCh'!J49)</f>
        <v>5.400095526235512</v>
      </c>
      <c r="L46" s="3"/>
      <c r="M46" s="3"/>
    </row>
    <row r="47" spans="1:13" ht="15">
      <c r="A47" s="10">
        <v>1969</v>
      </c>
      <c r="B47" s="2">
        <f>LOG('Balance BCCh'!B50)</f>
        <v>7.112660802779852</v>
      </c>
      <c r="C47" s="2">
        <f>LOG('Balance BCCh'!C50)</f>
        <v>6.5651358185045225</v>
      </c>
      <c r="D47" s="2">
        <f>LOG('Balance BCCh'!D50)</f>
        <v>6.824081620878499</v>
      </c>
      <c r="E47" s="2">
        <f>LOG('Balance BCCh'!F50)</f>
        <v>7.102389117884021</v>
      </c>
      <c r="F47" s="2">
        <f>LOG('Balance BCCh'!G50)</f>
        <v>6.703215967730027</v>
      </c>
      <c r="G47" s="2" t="e">
        <f>LOG('Balance BCCh'!#REF!)</f>
        <v>#REF!</v>
      </c>
      <c r="H47" s="2" t="e">
        <f>LOG('Balance BCCh'!#REF!)</f>
        <v>#REF!</v>
      </c>
      <c r="J47" s="2"/>
      <c r="K47" s="2">
        <f>LOG('Balance BCCh'!J50)</f>
        <v>5.481392459575441</v>
      </c>
      <c r="L47" s="3"/>
      <c r="M47" s="3"/>
    </row>
    <row r="48" spans="1:13" ht="15">
      <c r="A48" s="10">
        <v>1970</v>
      </c>
      <c r="B48" s="2">
        <f>LOG('Balance BCCh'!B51)</f>
        <v>7.263311722412072</v>
      </c>
      <c r="C48" s="2">
        <f>LOG('Balance BCCh'!C51)</f>
        <v>6.712034436321504</v>
      </c>
      <c r="D48" s="2">
        <f>LOG('Balance BCCh'!D51)</f>
        <v>6.977320479829706</v>
      </c>
      <c r="E48" s="2">
        <f>LOG('Balance BCCh'!F51)</f>
        <v>7.2511443646914095</v>
      </c>
      <c r="F48" s="2">
        <f>LOG('Balance BCCh'!G51)</f>
        <v>6.8991638277285965</v>
      </c>
      <c r="G48" s="2" t="e">
        <f>LOG('Balance BCCh'!#REF!)</f>
        <v>#REF!</v>
      </c>
      <c r="H48" s="2" t="e">
        <f>LOG('Balance BCCh'!#REF!)</f>
        <v>#REF!</v>
      </c>
      <c r="J48" s="2"/>
      <c r="K48" s="2">
        <f>LOG('Balance BCCh'!J51)</f>
        <v>5.704654212222004</v>
      </c>
      <c r="L48" s="3"/>
      <c r="M48" s="3"/>
    </row>
    <row r="49" spans="1:13" ht="15">
      <c r="A49" s="10">
        <v>1971</v>
      </c>
      <c r="B49" s="2">
        <f>LOG('Balance BCCh'!B52)</f>
        <v>7.587099065477937</v>
      </c>
      <c r="C49" s="2">
        <f>LOG('Balance BCCh'!C52)</f>
        <v>6.583027743931071</v>
      </c>
      <c r="D49" s="2">
        <f>LOG('Balance BCCh'!D52)</f>
        <v>7.473910751435331</v>
      </c>
      <c r="E49" s="2">
        <f>LOG('Balance BCCh'!F52)</f>
        <v>7.5778543073727285</v>
      </c>
      <c r="F49" s="2">
        <f>LOG('Balance BCCh'!G52)</f>
        <v>7.326612307887733</v>
      </c>
      <c r="G49" s="2" t="e">
        <f>LOG('Balance BCCh'!#REF!)</f>
        <v>#REF!</v>
      </c>
      <c r="H49" s="2" t="e">
        <f>LOG('Balance BCCh'!#REF!)</f>
        <v>#REF!</v>
      </c>
      <c r="J49" s="2"/>
      <c r="K49" s="2">
        <f>LOG('Balance BCCh'!J52)</f>
        <v>5.910596126809449</v>
      </c>
      <c r="L49" s="3"/>
      <c r="M49" s="3"/>
    </row>
    <row r="50" spans="1:13" ht="15">
      <c r="A50" s="10">
        <v>1972</v>
      </c>
      <c r="B50" s="2">
        <f>LOG('Balance BCCh'!B53)</f>
        <v>8.041998296968012</v>
      </c>
      <c r="C50" s="2">
        <f>LOG('Balance BCCh'!C53)</f>
        <v>6.679664785970521</v>
      </c>
      <c r="D50" s="2">
        <f>LOG('Balance BCCh'!D53)</f>
        <v>7.928731435276743</v>
      </c>
      <c r="E50" s="2">
        <f>LOG('Balance BCCh'!F53)</f>
        <v>8.03115857406699</v>
      </c>
      <c r="F50" s="2">
        <f>LOG('Balance BCCh'!G53)</f>
        <v>7.7558932556541755</v>
      </c>
      <c r="G50" s="2" t="e">
        <f>LOG('Balance BCCh'!#REF!)</f>
        <v>#REF!</v>
      </c>
      <c r="H50" s="2" t="e">
        <f>LOG('Balance BCCh'!#REF!)</f>
        <v>#REF!</v>
      </c>
      <c r="J50" s="2"/>
      <c r="K50" s="2">
        <f>LOG('Balance BCCh'!J53)</f>
        <v>6.433823577540769</v>
      </c>
      <c r="L50" s="3"/>
      <c r="M50" s="3"/>
    </row>
    <row r="51" spans="1:13" ht="15">
      <c r="A51" s="10">
        <v>1973</v>
      </c>
      <c r="B51" s="2">
        <f>LOG('Balance BCCh'!B54)</f>
        <v>9.038178390972444</v>
      </c>
      <c r="C51" s="2">
        <f>LOG('Balance BCCh'!C54)</f>
        <v>8.010817552731375</v>
      </c>
      <c r="D51" s="2">
        <f>LOG('Balance BCCh'!D54)</f>
        <v>8.858274417443218</v>
      </c>
      <c r="E51" s="2">
        <f>LOG('Balance BCCh'!F54)</f>
        <v>9.034847918780162</v>
      </c>
      <c r="F51" s="2">
        <f>LOG('Balance BCCh'!G54)</f>
        <v>8.5151024545018</v>
      </c>
      <c r="G51" s="2" t="e">
        <f>LOG('Balance BCCh'!#REF!)</f>
        <v>#REF!</v>
      </c>
      <c r="H51" s="2" t="e">
        <f>LOG('Balance BCCh'!#REF!)</f>
        <v>#REF!</v>
      </c>
      <c r="J51" s="2"/>
      <c r="K51" s="2">
        <f>LOG('Balance BCCh'!J54)</f>
        <v>6.921235719631681</v>
      </c>
      <c r="L51" s="3"/>
      <c r="M51" s="3"/>
    </row>
    <row r="52" spans="1:13" ht="15">
      <c r="A52" s="10">
        <v>1974</v>
      </c>
      <c r="B52" s="2">
        <f>LOG('Balance BCCh'!B55)</f>
        <v>9.739770800314608</v>
      </c>
      <c r="C52" s="2">
        <f>LOG('Balance BCCh'!C55)</f>
        <v>8.714191441757713</v>
      </c>
      <c r="D52" s="2">
        <f>LOG('Balance BCCh'!D55)</f>
        <v>9.569076017717025</v>
      </c>
      <c r="E52" s="2">
        <f>LOG('Balance BCCh'!F55)</f>
        <v>9.733957213544688</v>
      </c>
      <c r="F52" s="2">
        <f>LOG('Balance BCCh'!G55)</f>
        <v>9.024634615013436</v>
      </c>
      <c r="G52" s="2" t="e">
        <f>LOG('Balance BCCh'!#REF!)</f>
        <v>#REF!</v>
      </c>
      <c r="H52" s="2" t="e">
        <f>LOG('Balance BCCh'!#REF!)</f>
        <v>#REF!</v>
      </c>
      <c r="J52" s="2"/>
      <c r="K52" s="2">
        <f>LOG('Balance BCCh'!J55)</f>
        <v>7.863527097074567</v>
      </c>
      <c r="L52" s="3"/>
      <c r="M52" s="3"/>
    </row>
    <row r="53" spans="1:13" ht="15">
      <c r="A53" s="10">
        <v>1975</v>
      </c>
      <c r="B53" s="2">
        <f>LOG('Balance BCCh'!B56)</f>
        <v>10.455960791507245</v>
      </c>
      <c r="C53" s="2">
        <f>LOG('Balance BCCh'!C56)</f>
        <v>9.301655314321485</v>
      </c>
      <c r="D53" s="2">
        <f>LOG('Balance BCCh'!D56)</f>
        <v>10.269186735110695</v>
      </c>
      <c r="E53" s="2">
        <f>LOG('Balance BCCh'!F56)</f>
        <v>10.446760609391188</v>
      </c>
      <c r="F53" s="2">
        <f>LOG('Balance BCCh'!G56)</f>
        <v>9.593578577721722</v>
      </c>
      <c r="G53" s="2" t="e">
        <f>LOG('Balance BCCh'!#REF!)</f>
        <v>#REF!</v>
      </c>
      <c r="H53" s="2" t="e">
        <f>LOG('Balance BCCh'!#REF!)</f>
        <v>#REF!</v>
      </c>
      <c r="J53" s="2"/>
      <c r="K53" s="2">
        <f>LOG('Balance BCCh'!J56)</f>
        <v>8.777380934106699</v>
      </c>
      <c r="L53" s="3"/>
      <c r="M53" s="3"/>
    </row>
    <row r="54" spans="1:13" ht="15">
      <c r="A54" s="10">
        <v>1976</v>
      </c>
      <c r="B54" s="2">
        <f>LOG('Balance BCCh'!B57)</f>
        <v>11.00039710993547</v>
      </c>
      <c r="C54" s="2">
        <f>LOG('Balance BCCh'!C57)</f>
        <v>10.057949492475931</v>
      </c>
      <c r="D54" s="2">
        <f>LOG('Balance BCCh'!D57)</f>
        <v>10.633908553801911</v>
      </c>
      <c r="E54" s="2">
        <f>LOG('Balance BCCh'!F57)</f>
        <v>10.965541746249908</v>
      </c>
      <c r="F54" s="2">
        <f>LOG('Balance BCCh'!G57)</f>
        <v>10.190366614911555</v>
      </c>
      <c r="G54" s="2" t="e">
        <f>LOG('Balance BCCh'!#REF!)</f>
        <v>#REF!</v>
      </c>
      <c r="H54" s="2" t="e">
        <f>LOG('Balance BCCh'!#REF!)</f>
        <v>#REF!</v>
      </c>
      <c r="J54" s="2"/>
      <c r="K54" s="2">
        <f>LOG('Balance BCCh'!J57)</f>
        <v>9.887571287548298</v>
      </c>
      <c r="L54" s="3"/>
      <c r="M54" s="3"/>
    </row>
    <row r="55" spans="1:13" ht="15">
      <c r="A55" s="10">
        <v>1977</v>
      </c>
      <c r="B55" s="2">
        <f>LOG('Balance BCCh'!B58)</f>
        <v>11.28677636538898</v>
      </c>
      <c r="C55" s="2">
        <f>LOG('Balance BCCh'!C58)</f>
        <v>10.302417128384983</v>
      </c>
      <c r="D55" s="2">
        <f>LOG('Balance BCCh'!D58)</f>
        <v>10.919141036847869</v>
      </c>
      <c r="E55" s="2">
        <f>LOG('Balance BCCh'!F58)</f>
        <v>11.240896936680064</v>
      </c>
      <c r="F55" s="2">
        <f>LOG('Balance BCCh'!G58)</f>
        <v>10.574138363064504</v>
      </c>
      <c r="G55" s="2" t="e">
        <f>LOG('Balance BCCh'!#REF!)</f>
        <v>#REF!</v>
      </c>
      <c r="H55" s="2" t="e">
        <f>LOG('Balance BCCh'!#REF!)</f>
        <v>#REF!</v>
      </c>
      <c r="J55" s="2"/>
      <c r="K55" s="2">
        <f>LOG('Balance BCCh'!J58)</f>
        <v>10.287872270795232</v>
      </c>
      <c r="L55" s="3"/>
      <c r="M55" s="3"/>
    </row>
    <row r="56" spans="1:13" ht="15">
      <c r="A56" s="10">
        <v>1978</v>
      </c>
      <c r="B56" s="2">
        <f>LOG('Balance BCCh'!B59)</f>
        <v>11.526782399333065</v>
      </c>
      <c r="C56" s="2">
        <f>LOG('Balance BCCh'!C59)</f>
        <v>10.67984929655351</v>
      </c>
      <c r="D56" s="2">
        <f>LOG('Balance BCCh'!D59)</f>
        <v>10.966085580109782</v>
      </c>
      <c r="E56" s="2">
        <f>LOG('Balance BCCh'!F59)</f>
        <v>11.458035256481043</v>
      </c>
      <c r="F56" s="2">
        <f>LOG('Balance BCCh'!G59)</f>
        <v>10.741243543092978</v>
      </c>
      <c r="G56" s="2" t="e">
        <f>LOG('Balance BCCh'!#REF!)</f>
        <v>#REF!</v>
      </c>
      <c r="H56" s="2" t="e">
        <f>LOG('Balance BCCh'!#REF!)</f>
        <v>#REF!</v>
      </c>
      <c r="J56" s="2">
        <f>LOG('Balance BCCh'!H59)</f>
        <v>10.12190122750491</v>
      </c>
      <c r="K56" s="2">
        <f>LOG('Balance BCCh'!J59)</f>
        <v>10.692332509111619</v>
      </c>
      <c r="L56" s="3"/>
      <c r="M56" s="3"/>
    </row>
    <row r="57" spans="1:13" ht="15">
      <c r="A57" s="10">
        <v>1979</v>
      </c>
      <c r="B57" s="2">
        <f>LOG('Balance BCCh'!B60)</f>
        <v>11.720779534954872</v>
      </c>
      <c r="C57" s="2">
        <f>LOG('Balance BCCh'!C60)</f>
        <v>11.084216393629701</v>
      </c>
      <c r="D57" s="2">
        <f>LOG('Balance BCCh'!D60)</f>
        <v>11.070644316854736</v>
      </c>
      <c r="E57" s="2">
        <f>LOG('Balance BCCh'!F60)</f>
        <v>11.610849552951924</v>
      </c>
      <c r="F57" s="2">
        <f>LOG('Balance BCCh'!G60)</f>
        <v>10.904470551407881</v>
      </c>
      <c r="G57" s="2" t="e">
        <f>LOG('Balance BCCh'!#REF!)</f>
        <v>#REF!</v>
      </c>
      <c r="H57" s="2" t="e">
        <f>LOG('Balance BCCh'!#REF!)</f>
        <v>#REF!</v>
      </c>
      <c r="J57" s="2">
        <f>LOG('Balance BCCh'!H60)</f>
        <v>10.301933863554996</v>
      </c>
      <c r="K57" s="2">
        <f>LOG('Balance BCCh'!J60)</f>
        <v>11.070305180359913</v>
      </c>
      <c r="L57" s="3"/>
      <c r="M57" s="3"/>
    </row>
    <row r="58" spans="1:13" ht="15">
      <c r="A58" s="10">
        <v>1980</v>
      </c>
      <c r="B58" s="2">
        <f>LOG('Balance BCCh'!B61)</f>
        <v>11.800743568063544</v>
      </c>
      <c r="C58" s="2">
        <f>LOG('Balance BCCh'!C61)</f>
        <v>11.253894766682262</v>
      </c>
      <c r="D58" s="2">
        <f>LOG('Balance BCCh'!D61)</f>
        <v>11.035833408367473</v>
      </c>
      <c r="E58" s="2">
        <f>LOG('Balance BCCh'!F61)</f>
        <v>11.693314413299248</v>
      </c>
      <c r="F58" s="2">
        <f>LOG('Balance BCCh'!G61)</f>
        <v>10.97015920559145</v>
      </c>
      <c r="G58" s="2" t="e">
        <f>LOG('Balance BCCh'!#REF!)</f>
        <v>#REF!</v>
      </c>
      <c r="H58" s="2" t="e">
        <f>LOG('Balance BCCh'!#REF!)</f>
        <v>#REF!</v>
      </c>
      <c r="J58" s="2">
        <f>LOG('Balance BCCh'!H61)</f>
        <v>10.646427998979002</v>
      </c>
      <c r="K58" s="2">
        <f>LOG('Balance BCCh'!J61)</f>
        <v>11.141473531951233</v>
      </c>
      <c r="L58" s="3"/>
      <c r="M58" s="3"/>
    </row>
    <row r="59" spans="1:13" ht="15">
      <c r="A59" s="10">
        <v>1981</v>
      </c>
      <c r="B59" s="2">
        <f>LOG('Balance BCCh'!B62)</f>
        <v>11.543286977265037</v>
      </c>
      <c r="C59" s="2">
        <f>LOG('Balance BCCh'!C62)</f>
        <v>11.20715915680108</v>
      </c>
      <c r="D59" s="2">
        <f>LOG('Balance BCCh'!D62)</f>
        <v>10.811739845636858</v>
      </c>
      <c r="E59" s="2">
        <f>LOG('Balance BCCh'!F62)</f>
        <v>11.333520624771479</v>
      </c>
      <c r="F59" s="2">
        <f>LOG('Balance BCCh'!G62)</f>
        <v>10.922620633533235</v>
      </c>
      <c r="G59" s="2" t="e">
        <f>LOG('Balance BCCh'!#REF!)</f>
        <v>#REF!</v>
      </c>
      <c r="H59" s="2" t="e">
        <f>LOG('Balance BCCh'!#REF!)</f>
        <v>#REF!</v>
      </c>
      <c r="J59" s="2">
        <f>LOG('Balance BCCh'!H62)</f>
        <v>10.479706284118768</v>
      </c>
      <c r="K59" s="2">
        <f>LOG('Balance BCCh'!J62)</f>
        <v>11.126568729760004</v>
      </c>
      <c r="L59" s="3"/>
      <c r="M59" s="3"/>
    </row>
    <row r="60" spans="1:13" ht="15">
      <c r="A60" s="10">
        <v>1982</v>
      </c>
      <c r="B60" s="2">
        <f>LOG('Balance BCCh'!B63)</f>
        <v>11.806468412575214</v>
      </c>
      <c r="C60" s="2">
        <f>LOG('Balance BCCh'!C63)</f>
        <v>11.342967378670544</v>
      </c>
      <c r="D60" s="2">
        <f>LOG('Balance BCCh'!D63)</f>
        <v>10.770756309093768</v>
      </c>
      <c r="E60" s="2">
        <f>LOG('Balance BCCh'!F63)</f>
        <v>11.655562529542205</v>
      </c>
      <c r="F60" s="2">
        <f>LOG('Balance BCCh'!G63)</f>
        <v>10.795636049050328</v>
      </c>
      <c r="G60" s="2" t="e">
        <f>LOG('Balance BCCh'!#REF!)</f>
        <v>#REF!</v>
      </c>
      <c r="H60" s="2" t="e">
        <f>LOG('Balance BCCh'!#REF!)</f>
        <v>#REF!</v>
      </c>
      <c r="J60" s="2">
        <f>LOG('Balance BCCh'!H63)</f>
        <v>10.494959797450047</v>
      </c>
      <c r="K60" s="2">
        <f>LOG('Balance BCCh'!J63)</f>
        <v>11.274119962347827</v>
      </c>
      <c r="L60" s="3"/>
      <c r="M60" s="3"/>
    </row>
    <row r="61" spans="1:13" ht="15">
      <c r="A61" s="10">
        <v>1983</v>
      </c>
      <c r="B61" s="2">
        <f>LOG('Balance BCCh'!B64)</f>
        <v>12.163395818775168</v>
      </c>
      <c r="C61" s="2">
        <f>LOG('Balance BCCh'!C64)</f>
        <v>11.451468040834854</v>
      </c>
      <c r="D61" s="2">
        <f>LOG('Balance BCCh'!D64)</f>
        <v>10.8456932358341</v>
      </c>
      <c r="E61" s="2">
        <f>LOG('Balance BCCh'!F64)</f>
        <v>12.092613180339471</v>
      </c>
      <c r="F61" s="2">
        <f>LOG('Balance BCCh'!G64)</f>
        <v>10.860155864212274</v>
      </c>
      <c r="G61" s="2" t="e">
        <f>LOG('Balance BCCh'!#REF!)</f>
        <v>#REF!</v>
      </c>
      <c r="H61" s="2" t="e">
        <f>LOG('Balance BCCh'!#REF!)</f>
        <v>#REF!</v>
      </c>
      <c r="J61" s="2">
        <f>LOG('Balance BCCh'!H64)</f>
        <v>11.532290416821784</v>
      </c>
      <c r="K61" s="2">
        <f>LOG('Balance BCCh'!J64)</f>
        <v>11.34062751099583</v>
      </c>
      <c r="L61" s="3"/>
      <c r="M61" s="3"/>
    </row>
    <row r="62" spans="1:13" ht="15">
      <c r="A62" s="10">
        <v>1984</v>
      </c>
      <c r="B62" s="2">
        <f>LOG('Balance BCCh'!B65)</f>
        <v>12.38491317303992</v>
      </c>
      <c r="C62" s="2">
        <f>LOG('Balance BCCh'!C65)</f>
        <v>11.648575543222472</v>
      </c>
      <c r="D62" s="2">
        <f>LOG('Balance BCCh'!D65)</f>
        <v>11.276262304596663</v>
      </c>
      <c r="E62" s="2">
        <f>LOG('Balance BCCh'!F65)</f>
        <v>12.355583857287522</v>
      </c>
      <c r="F62" s="2">
        <f>LOG('Balance BCCh'!G65)</f>
        <v>10.9456448276253</v>
      </c>
      <c r="G62" s="2" t="e">
        <f>LOG('Balance BCCh'!#REF!)</f>
        <v>#REF!</v>
      </c>
      <c r="H62" s="2" t="e">
        <f>LOG('Balance BCCh'!#REF!)</f>
        <v>#REF!</v>
      </c>
      <c r="J62" s="2">
        <f>LOG('Balance BCCh'!H65)</f>
        <v>11.719764950473705</v>
      </c>
      <c r="K62" s="2">
        <f>LOG('Balance BCCh'!J65)</f>
        <v>11.1998486611423</v>
      </c>
      <c r="L62" s="3"/>
      <c r="M62" s="3"/>
    </row>
    <row r="63" spans="1:13" ht="15">
      <c r="A63" s="10">
        <v>1985</v>
      </c>
      <c r="B63" s="2">
        <f>LOG('Balance BCCh'!B66)</f>
        <v>12.63399004300984</v>
      </c>
      <c r="C63" s="2">
        <f>LOG('Balance BCCh'!C66)</f>
        <v>11.814250459934549</v>
      </c>
      <c r="D63" s="2">
        <f>LOG('Balance BCCh'!D66)</f>
        <v>11.42829794790955</v>
      </c>
      <c r="E63" s="2">
        <f>LOG('Balance BCCh'!F66)</f>
        <v>12.613100723105935</v>
      </c>
      <c r="F63" s="2">
        <f>LOG('Balance BCCh'!G66)</f>
        <v>11.044506442299452</v>
      </c>
      <c r="G63" s="2" t="e">
        <f>LOG('Balance BCCh'!#REF!)</f>
        <v>#REF!</v>
      </c>
      <c r="H63" s="2" t="e">
        <f>LOG('Balance BCCh'!#REF!)</f>
        <v>#REF!</v>
      </c>
      <c r="J63" s="2">
        <f>LOG('Balance BCCh'!H66)</f>
        <v>12.041517783431358</v>
      </c>
      <c r="K63" s="2">
        <f>LOG('Balance BCCh'!J66)</f>
        <v>11.305727236971432</v>
      </c>
      <c r="L63" s="3"/>
      <c r="M63" s="3"/>
    </row>
    <row r="64" spans="1:13" ht="15">
      <c r="A64" s="10">
        <v>1986</v>
      </c>
      <c r="B64" s="2">
        <f>LOG('Balance BCCh'!B67)</f>
        <v>12.708230338188125</v>
      </c>
      <c r="C64" s="2">
        <f>LOG('Balance BCCh'!C67)</f>
        <v>11.8878254530199</v>
      </c>
      <c r="D64" s="2">
        <f>LOG('Balance BCCh'!D67)</f>
        <v>11.587094435437576</v>
      </c>
      <c r="E64" s="2">
        <f>LOG('Balance BCCh'!F67)</f>
        <v>12.687886112936855</v>
      </c>
      <c r="F64" s="2">
        <f>LOG('Balance BCCh'!G67)</f>
        <v>11.164099046569891</v>
      </c>
      <c r="G64" s="2" t="e">
        <f>LOG('Balance BCCh'!#REF!)</f>
        <v>#REF!</v>
      </c>
      <c r="H64" s="2" t="e">
        <f>LOG('Balance BCCh'!#REF!)</f>
        <v>#REF!</v>
      </c>
      <c r="J64" s="2">
        <f>LOG('Balance BCCh'!H67)</f>
        <v>12.156848844352448</v>
      </c>
      <c r="K64" s="2">
        <f>LOG('Balance BCCh'!J67)</f>
        <v>11.368754778038392</v>
      </c>
      <c r="L64" s="3"/>
      <c r="M64" s="3"/>
    </row>
    <row r="65" spans="1:13" ht="15">
      <c r="A65" s="10">
        <v>1987</v>
      </c>
      <c r="B65" s="2">
        <f>LOG('Balance BCCh'!B68)</f>
        <v>12.769289749298077</v>
      </c>
      <c r="C65" s="2">
        <f>LOG('Balance BCCh'!C68)</f>
        <v>11.992915249758262</v>
      </c>
      <c r="D65" s="2">
        <f>LOG('Balance BCCh'!D68)</f>
        <v>11.662739609813437</v>
      </c>
      <c r="E65" s="2">
        <f>LOG('Balance BCCh'!F68)</f>
        <v>12.747516678506415</v>
      </c>
      <c r="F65" s="2">
        <f>LOG('Balance BCCh'!G68)</f>
        <v>11.23397458263867</v>
      </c>
      <c r="G65" s="2" t="e">
        <f>LOG('Balance BCCh'!#REF!)</f>
        <v>#REF!</v>
      </c>
      <c r="H65" s="2" t="e">
        <f>LOG('Balance BCCh'!#REF!)</f>
        <v>#REF!</v>
      </c>
      <c r="J65" s="2">
        <f>LOG('Balance BCCh'!H68)</f>
        <v>12.218959772193724</v>
      </c>
      <c r="K65" s="2">
        <f>LOG('Balance BCCh'!J68)</f>
        <v>11.458584068709596</v>
      </c>
      <c r="L65" s="3"/>
      <c r="M65" s="3"/>
    </row>
    <row r="66" spans="1:13" ht="15">
      <c r="A66" s="10">
        <v>1988</v>
      </c>
      <c r="B66" s="2">
        <f>LOG('Balance BCCh'!B69)</f>
        <v>12.80475019885251</v>
      </c>
      <c r="C66" s="2">
        <f>LOG('Balance BCCh'!C69)</f>
        <v>12.080514075231559</v>
      </c>
      <c r="D66" s="2">
        <f>LOG('Balance BCCh'!D69)</f>
        <v>11.471577576396783</v>
      </c>
      <c r="E66" s="2">
        <f>LOG('Balance BCCh'!F69)</f>
        <v>12.781134830793992</v>
      </c>
      <c r="F66" s="2">
        <f>LOG('Balance BCCh'!G69)</f>
        <v>11.390738924112627</v>
      </c>
      <c r="G66" s="2" t="e">
        <f>LOG('Balance BCCh'!#REF!)</f>
        <v>#REF!</v>
      </c>
      <c r="H66" s="2" t="e">
        <f>LOG('Balance BCCh'!#REF!)</f>
        <v>#REF!</v>
      </c>
      <c r="J66" s="2">
        <f>LOG('Balance BCCh'!H69)</f>
        <v>12.237088546049428</v>
      </c>
      <c r="K66" s="2">
        <f>LOG('Balance BCCh'!J69)</f>
        <v>11.528406425828951</v>
      </c>
      <c r="L66" s="3"/>
      <c r="M66" s="3"/>
    </row>
    <row r="67" spans="1:13" ht="15">
      <c r="A67" s="10">
        <v>1989</v>
      </c>
      <c r="B67" s="2">
        <f>LOG('Balance BCCh'!B70)</f>
        <v>12.80336827422068</v>
      </c>
      <c r="C67" s="2">
        <f>LOG('Balance BCCh'!C70)</f>
        <v>12.174240730916546</v>
      </c>
      <c r="D67" s="2">
        <f>LOG('Balance BCCh'!D70)</f>
        <v>12.345359770168974</v>
      </c>
      <c r="E67" s="2">
        <f>LOG('Balance BCCh'!F70)</f>
        <v>12.77320394637269</v>
      </c>
      <c r="F67" s="2">
        <f>LOG('Balance BCCh'!G70)</f>
        <v>11.448016465039276</v>
      </c>
      <c r="G67" s="2" t="e">
        <f>LOG('Balance BCCh'!#REF!)</f>
        <v>#REF!</v>
      </c>
      <c r="H67" s="2" t="e">
        <f>LOG('Balance BCCh'!#REF!)</f>
        <v>#REF!</v>
      </c>
      <c r="J67" s="2">
        <f>LOG('Balance BCCh'!H70)</f>
        <v>12.351702193122836</v>
      </c>
      <c r="K67" s="2">
        <f>LOG('Balance BCCh'!J70)</f>
        <v>11.630082743338026</v>
      </c>
      <c r="L67" s="3"/>
      <c r="M67" s="3"/>
    </row>
    <row r="68" spans="1:13" ht="15">
      <c r="A68" s="10">
        <v>1990</v>
      </c>
      <c r="B68" s="2">
        <f>LOG('Balance BCCh'!B71)</f>
        <v>12.934502061932681</v>
      </c>
      <c r="C68" s="2">
        <f>LOG('Balance BCCh'!C71)</f>
        <v>12.428474901378085</v>
      </c>
      <c r="D68" s="2">
        <f>LOG('Balance BCCh'!D71)</f>
        <v>12.446326585720536</v>
      </c>
      <c r="E68" s="2">
        <f>LOG('Balance BCCh'!F71)</f>
        <v>12.905061069423413</v>
      </c>
      <c r="F68" s="2">
        <f>LOG('Balance BCCh'!G71)</f>
        <v>11.59648548409623</v>
      </c>
      <c r="G68" s="2" t="e">
        <f>LOG('Balance BCCh'!#REF!)</f>
        <v>#REF!</v>
      </c>
      <c r="H68" s="2" t="e">
        <f>LOG('Balance BCCh'!#REF!)</f>
        <v>#REF!</v>
      </c>
      <c r="J68" s="2">
        <f>LOG('Balance BCCh'!H71)</f>
        <v>12.5644918736865</v>
      </c>
      <c r="K68" s="2">
        <f>LOG('Balance BCCh'!J71)</f>
        <v>11.751032856975952</v>
      </c>
      <c r="L68" s="3"/>
      <c r="M68" s="3"/>
    </row>
    <row r="69" spans="1:13" ht="15">
      <c r="A69" s="10">
        <v>1991</v>
      </c>
      <c r="B69" s="2">
        <f>LOG('Balance BCCh'!B72)</f>
        <v>12.973998770495184</v>
      </c>
      <c r="C69" s="2">
        <f>LOG('Balance BCCh'!C72)</f>
        <v>12.532889333181178</v>
      </c>
      <c r="D69" s="2">
        <f>LOG('Balance BCCh'!D72)</f>
        <v>12.496973932787624</v>
      </c>
      <c r="E69" s="2">
        <f>LOG('Balance BCCh'!F72)</f>
        <v>12.941840224100844</v>
      </c>
      <c r="F69" s="2">
        <f>LOG('Balance BCCh'!G72)</f>
        <v>11.751212953740044</v>
      </c>
      <c r="G69" s="2" t="e">
        <f>LOG('Balance BCCh'!#REF!)</f>
        <v>#REF!</v>
      </c>
      <c r="H69" s="2" t="e">
        <f>LOG('Balance BCCh'!#REF!)</f>
        <v>#REF!</v>
      </c>
      <c r="J69" s="2">
        <f>LOG('Balance BCCh'!H72)</f>
        <v>12.656864424557696</v>
      </c>
      <c r="K69" s="2">
        <f>LOG('Balance BCCh'!J72)</f>
        <v>11.82753081089534</v>
      </c>
      <c r="L69" s="3"/>
      <c r="M69" s="3"/>
    </row>
    <row r="70" spans="1:13" ht="15">
      <c r="A70" s="10">
        <v>1992</v>
      </c>
      <c r="B70" s="2">
        <f>LOG('Balance BCCh'!B73)</f>
        <v>13.03680944130605</v>
      </c>
      <c r="C70" s="2">
        <f>LOG('Balance BCCh'!C73)</f>
        <v>12.671201270016235</v>
      </c>
      <c r="D70" s="2">
        <f>LOG('Balance BCCh'!D73)</f>
        <v>12.534971698171955</v>
      </c>
      <c r="E70" s="2">
        <f>LOG('Balance BCCh'!F73)</f>
        <v>13.006590527862825</v>
      </c>
      <c r="F70" s="2">
        <f>LOG('Balance BCCh'!G73)</f>
        <v>11.793901108685658</v>
      </c>
      <c r="G70" s="2" t="e">
        <f>LOG('Balance BCCh'!#REF!)</f>
        <v>#REF!</v>
      </c>
      <c r="H70" s="2" t="e">
        <f>LOG('Balance BCCh'!#REF!)</f>
        <v>#REF!</v>
      </c>
      <c r="J70" s="2">
        <f>LOG('Balance BCCh'!H73)</f>
        <v>12.741644483692058</v>
      </c>
      <c r="K70" s="2">
        <f>LOG('Balance BCCh'!J73)</f>
        <v>11.864282126167138</v>
      </c>
      <c r="L70" s="3"/>
      <c r="M70" s="3"/>
    </row>
    <row r="71" spans="1:13" ht="15">
      <c r="A71" s="10">
        <v>1993</v>
      </c>
      <c r="B71" s="2">
        <f>LOG('Balance BCCh'!B74)</f>
        <v>13.08048071409748</v>
      </c>
      <c r="C71" s="2">
        <f>LOG('Balance BCCh'!C74)</f>
        <v>12.724720220450667</v>
      </c>
      <c r="D71" s="2">
        <f>LOG('Balance BCCh'!D74)</f>
        <v>12.58114784491557</v>
      </c>
      <c r="E71" s="2">
        <f>LOG('Balance BCCh'!F74)</f>
        <v>13.049993050455965</v>
      </c>
      <c r="F71" s="2">
        <f>LOG('Balance BCCh'!G74)</f>
        <v>11.844975924055953</v>
      </c>
      <c r="G71" s="2" t="e">
        <f>LOG('Balance BCCh'!#REF!)</f>
        <v>#REF!</v>
      </c>
      <c r="H71" s="2" t="e">
        <f>LOG('Balance BCCh'!#REF!)</f>
        <v>#REF!</v>
      </c>
      <c r="J71" s="2">
        <f>LOG('Balance BCCh'!H74)</f>
        <v>12.793401566004658</v>
      </c>
      <c r="K71" s="2">
        <f>LOG('Balance BCCh'!J74)</f>
        <v>11.911665888678202</v>
      </c>
      <c r="L71" s="3"/>
      <c r="M71" s="3"/>
    </row>
    <row r="72" spans="1:13" ht="15">
      <c r="A72" s="10">
        <v>1994</v>
      </c>
      <c r="B72" s="2">
        <f>LOG('Balance BCCh'!B75)</f>
        <v>13.10692309806182</v>
      </c>
      <c r="C72" s="2">
        <f>LOG('Balance BCCh'!C75)</f>
        <v>12.79734428711387</v>
      </c>
      <c r="D72" s="2">
        <f>LOG('Balance BCCh'!D75)</f>
        <v>12.551535104032354</v>
      </c>
      <c r="E72" s="2">
        <f>LOG('Balance BCCh'!F75)</f>
        <v>13.09732849899222</v>
      </c>
      <c r="F72" s="2">
        <f>LOG('Balance BCCh'!G75)</f>
        <v>11.944056311472366</v>
      </c>
      <c r="G72" s="2" t="e">
        <f>LOG('Balance BCCh'!#REF!)</f>
        <v>#REF!</v>
      </c>
      <c r="H72" s="2" t="e">
        <f>LOG('Balance BCCh'!#REF!)</f>
        <v>#REF!</v>
      </c>
      <c r="J72" s="2">
        <f>LOG('Balance BCCh'!H75)</f>
        <v>12.872211963801307</v>
      </c>
      <c r="K72" s="2">
        <f>LOG('Balance BCCh'!J75)</f>
        <v>11.446377150718192</v>
      </c>
      <c r="L72" s="3"/>
      <c r="M72" s="3"/>
    </row>
    <row r="73" spans="1:13" ht="15">
      <c r="A73" s="10">
        <v>1995</v>
      </c>
      <c r="B73" s="2">
        <f>LOG('Balance BCCh'!B76)</f>
        <v>13.131690304199603</v>
      </c>
      <c r="C73" s="2">
        <f>LOG('Balance BCCh'!C76)</f>
        <v>12.842197369392748</v>
      </c>
      <c r="D73" s="2">
        <f>LOG('Balance BCCh'!D76)</f>
        <v>12.578856463285502</v>
      </c>
      <c r="E73" s="2">
        <f>LOG('Balance BCCh'!F76)</f>
        <v>13.122117060939711</v>
      </c>
      <c r="F73" s="2">
        <f>LOG('Balance BCCh'!G76)</f>
        <v>12.028894088362357</v>
      </c>
      <c r="G73" s="2" t="e">
        <f>LOG('Balance BCCh'!#REF!)</f>
        <v>#REF!</v>
      </c>
      <c r="H73" s="2" t="e">
        <f>LOG('Balance BCCh'!#REF!)</f>
        <v>#REF!</v>
      </c>
      <c r="J73" s="2">
        <f>LOG('Balance BCCh'!H76)</f>
        <v>12.917055989636529</v>
      </c>
      <c r="K73" s="2">
        <f>LOG('Balance BCCh'!J76)</f>
        <v>11.470187258588853</v>
      </c>
      <c r="L73" s="3"/>
      <c r="M73" s="3"/>
    </row>
    <row r="74" spans="1:13" ht="15">
      <c r="A74" s="10">
        <v>1996</v>
      </c>
      <c r="B74" s="2">
        <f>LOG('Balance BCCh'!B77)</f>
        <v>13.139842305136423</v>
      </c>
      <c r="C74" s="2">
        <f>LOG('Balance BCCh'!C77)</f>
        <v>12.888346263561528</v>
      </c>
      <c r="D74" s="2">
        <f>LOG('Balance BCCh'!D77)</f>
        <v>12.581591533380418</v>
      </c>
      <c r="E74" s="2">
        <f>LOG('Balance BCCh'!F77)</f>
        <v>13.133930873806396</v>
      </c>
      <c r="F74" s="2">
        <f>LOG('Balance BCCh'!G77)</f>
        <v>12.083239347558429</v>
      </c>
      <c r="G74" s="2" t="e">
        <f>LOG('Balance BCCh'!#REF!)</f>
        <v>#REF!</v>
      </c>
      <c r="H74" s="2" t="e">
        <f>LOG('Balance BCCh'!#REF!)</f>
        <v>#REF!</v>
      </c>
      <c r="J74" s="2">
        <f>LOG('Balance BCCh'!H77)</f>
        <v>12.973747546829246</v>
      </c>
      <c r="K74" s="2">
        <f>LOG('Balance BCCh'!J77)</f>
        <v>11.270798279808686</v>
      </c>
      <c r="M74" s="3"/>
    </row>
    <row r="75" spans="1:13" ht="15">
      <c r="A75" s="10">
        <v>1997</v>
      </c>
      <c r="B75" s="2">
        <f>LOG('Balance BCCh'!B78)</f>
        <v>13.177019766002234</v>
      </c>
      <c r="C75" s="2">
        <f>LOG('Balance BCCh'!C78)</f>
        <v>12.94996407666859</v>
      </c>
      <c r="D75" s="2">
        <f>LOG('Balance BCCh'!D78)</f>
        <v>12.58463558752757</v>
      </c>
      <c r="E75" s="2">
        <f>LOG('Balance BCCh'!F78)</f>
        <v>13.192856143682002</v>
      </c>
      <c r="F75" s="2">
        <f>LOG('Balance BCCh'!G78)</f>
        <v>12.144623206961068</v>
      </c>
      <c r="G75" s="2" t="e">
        <f>LOG('Balance BCCh'!#REF!)</f>
        <v>#REF!</v>
      </c>
      <c r="H75" s="2" t="e">
        <f>LOG('Balance BCCh'!#REF!)</f>
        <v>#REF!</v>
      </c>
      <c r="J75" s="2">
        <f>LOG('Balance BCCh'!H78)</f>
        <v>13.039887579112472</v>
      </c>
      <c r="K75" s="2">
        <f>-LOG(ABS('Balance BCCh'!J78))</f>
        <v>-11.746833555049943</v>
      </c>
      <c r="M75" s="3"/>
    </row>
    <row r="76" spans="1:13" ht="15">
      <c r="A76" s="10">
        <v>1998</v>
      </c>
      <c r="B76" s="2">
        <f>LOG('Balance BCCh'!B79)</f>
        <v>13.143731338368696</v>
      </c>
      <c r="C76" s="2">
        <f>LOG('Balance BCCh'!C79)</f>
        <v>12.905332594507286</v>
      </c>
      <c r="D76" s="2">
        <f>LOG('Balance BCCh'!D79)</f>
        <v>12.5589516953807</v>
      </c>
      <c r="E76" s="2">
        <f>LOG('Balance BCCh'!F79)</f>
        <v>13.172795519118962</v>
      </c>
      <c r="F76" s="2">
        <f>LOG('Balance BCCh'!G79)</f>
        <v>12.145128847394524</v>
      </c>
      <c r="G76" s="2" t="e">
        <f>LOG('Balance BCCh'!#REF!)</f>
        <v>#REF!</v>
      </c>
      <c r="H76" s="2" t="e">
        <f>LOG('Balance BCCh'!#REF!)</f>
        <v>#REF!</v>
      </c>
      <c r="J76" s="2">
        <f>LOG('Balance BCCh'!H79)</f>
        <v>13.022273857772527</v>
      </c>
      <c r="K76" s="2">
        <f>-LOG(ABS('Balance BCCh'!J79))</f>
        <v>-11.983918244114564</v>
      </c>
      <c r="M76" s="3"/>
    </row>
    <row r="77" spans="1:13" ht="15">
      <c r="A77" s="10">
        <v>1999</v>
      </c>
      <c r="B77" s="2">
        <f>LOG('Balance BCCh'!B80)</f>
        <v>13.155283633485418</v>
      </c>
      <c r="C77" s="2">
        <f>LOG('Balance BCCh'!C80)</f>
        <v>12.928217785747687</v>
      </c>
      <c r="D77" s="2">
        <f>LOG('Balance BCCh'!D80)</f>
        <v>12.581025102637108</v>
      </c>
      <c r="E77" s="2">
        <f>LOG('Balance BCCh'!F80)</f>
        <v>13.180518685207574</v>
      </c>
      <c r="F77" s="2">
        <f>LOG('Balance BCCh'!G80)</f>
        <v>12.252109532996363</v>
      </c>
      <c r="G77" s="2" t="e">
        <f>LOG('Balance BCCh'!#REF!)</f>
        <v>#REF!</v>
      </c>
      <c r="H77" s="2" t="e">
        <f>LOG('Balance BCCh'!#REF!)</f>
        <v>#REF!</v>
      </c>
      <c r="J77" s="2">
        <f>LOG('Balance BCCh'!H80)</f>
        <v>13.052515098104895</v>
      </c>
      <c r="K77" s="2">
        <f>-LOG(ABS('Balance BCCh'!J80))</f>
        <v>-11.93218214154397</v>
      </c>
      <c r="M77" s="3"/>
    </row>
    <row r="78" spans="1:13" ht="15">
      <c r="A78" s="10">
        <v>2000</v>
      </c>
      <c r="B78" s="2">
        <f>LOG('Balance BCCh'!B81)</f>
        <v>13.192981672884265</v>
      </c>
      <c r="C78" s="2">
        <f>LOG('Balance BCCh'!C81)</f>
        <v>12.964586600144253</v>
      </c>
      <c r="D78" s="2">
        <f>LOG('Balance BCCh'!D81)</f>
        <v>12.62647715372682</v>
      </c>
      <c r="E78" s="2">
        <f>LOG('Balance BCCh'!F81)</f>
        <v>13.212464537752846</v>
      </c>
      <c r="F78" s="2">
        <f>LOG('Balance BCCh'!G81)</f>
        <v>12.233847863243561</v>
      </c>
      <c r="G78" s="2" t="e">
        <f>LOG('Balance BCCh'!#REF!)</f>
        <v>#REF!</v>
      </c>
      <c r="H78" s="2" t="e">
        <f>LOG('Balance BCCh'!#REF!)</f>
        <v>#REF!</v>
      </c>
      <c r="J78" s="2">
        <f>LOG('Balance BCCh'!H81)</f>
        <v>13.116816185193152</v>
      </c>
      <c r="K78" s="2">
        <f>-LOG(ABS('Balance BCCh'!J81))</f>
        <v>-11.854628029212746</v>
      </c>
      <c r="M78" s="3"/>
    </row>
    <row r="79" spans="1:13" ht="15">
      <c r="A79" s="10">
        <v>2001</v>
      </c>
      <c r="B79" s="2">
        <f>LOG('Balance BCCh'!B82)</f>
        <v>13.239474703499242</v>
      </c>
      <c r="C79" s="2">
        <f>LOG('Balance BCCh'!C82)</f>
        <v>13.006070825648294</v>
      </c>
      <c r="D79" s="2">
        <f>LOG('Balance BCCh'!D82)</f>
        <v>12.67283675858331</v>
      </c>
      <c r="E79" s="2">
        <f>LOG('Balance BCCh'!F82)</f>
        <v>13.233171316678943</v>
      </c>
      <c r="F79" s="2">
        <f>LOG('Balance BCCh'!G82)</f>
        <v>12.275095005882871</v>
      </c>
      <c r="G79" s="2" t="e">
        <f>LOG('Balance BCCh'!#REF!)</f>
        <v>#REF!</v>
      </c>
      <c r="H79" s="2" t="e">
        <f>LOG('Balance BCCh'!#REF!)</f>
        <v>#REF!</v>
      </c>
      <c r="J79" s="2">
        <f>LOG('Balance BCCh'!H82)</f>
        <v>13.146421531961655</v>
      </c>
      <c r="K79" s="2">
        <f>LOG('Balance BCCh'!J82)</f>
        <v>11.39811647009495</v>
      </c>
      <c r="M79" s="3"/>
    </row>
    <row r="80" spans="1:13" ht="15">
      <c r="A80" s="10">
        <v>2002</v>
      </c>
      <c r="B80" s="2">
        <f>LOG('Balance BCCh'!B83)</f>
        <v>13.24937488484888</v>
      </c>
      <c r="C80" s="2">
        <f>LOG('Balance BCCh'!C83)</f>
        <v>13.038852012509976</v>
      </c>
      <c r="D80" s="2">
        <f>LOG('Balance BCCh'!D83)</f>
        <v>12.672300764655983</v>
      </c>
      <c r="E80" s="2">
        <f>LOG('Balance BCCh'!F83)</f>
        <v>13.22737758792837</v>
      </c>
      <c r="F80" s="2">
        <f>LOG('Balance BCCh'!G83)</f>
        <v>12.297357863697806</v>
      </c>
      <c r="G80" s="2" t="e">
        <f>LOG('Balance BCCh'!#REF!)</f>
        <v>#REF!</v>
      </c>
      <c r="H80" s="2" t="e">
        <f>LOG('Balance BCCh'!#REF!)</f>
        <v>#REF!</v>
      </c>
      <c r="J80" s="2">
        <f>LOG('Balance BCCh'!H83)</f>
        <v>13.14526286642614</v>
      </c>
      <c r="K80" s="2">
        <f>LOG('Balance BCCh'!J83)</f>
        <v>11.943007665126895</v>
      </c>
      <c r="M80" s="3"/>
    </row>
    <row r="81" spans="1:13" ht="15">
      <c r="A81" s="10">
        <v>2003</v>
      </c>
      <c r="B81" s="2">
        <f>LOG('Balance BCCh'!B84)</f>
        <v>13.1988397325923</v>
      </c>
      <c r="C81" s="2">
        <f>LOG('Balance BCCh'!C84)</f>
        <v>12.977794252397343</v>
      </c>
      <c r="D81" s="2">
        <f>LOG('Balance BCCh'!D84)</f>
        <v>12.568037870239705</v>
      </c>
      <c r="E81" s="2">
        <f>LOG('Balance BCCh'!F84)</f>
        <v>13.213554942699366</v>
      </c>
      <c r="F81" s="2">
        <f>LOG('Balance BCCh'!G84)</f>
        <v>12.321063112838285</v>
      </c>
      <c r="G81" s="2" t="e">
        <f>LOG('Balance BCCh'!#REF!)</f>
        <v>#REF!</v>
      </c>
      <c r="H81" s="2" t="e">
        <f>LOG('Balance BCCh'!#REF!)</f>
        <v>#REF!</v>
      </c>
      <c r="J81" s="2">
        <f>LOG('Balance BCCh'!H84)</f>
        <v>13.117283880067735</v>
      </c>
      <c r="K81" s="2">
        <f>-LOG(ABS('Balance BCCh'!J84))</f>
        <v>-11.73620026840572</v>
      </c>
      <c r="M81" s="3"/>
    </row>
    <row r="82" spans="1:13" ht="15">
      <c r="A82" s="10">
        <v>2004</v>
      </c>
      <c r="B82" s="2">
        <f>LOG('Balance BCCh'!B85)</f>
        <v>13.172915405726043</v>
      </c>
      <c r="C82" s="2">
        <f>LOG('Balance BCCh'!C85)</f>
        <v>12.95261109086998</v>
      </c>
      <c r="D82" s="2">
        <f>LOG('Balance BCCh'!D85)</f>
        <v>12.462339873427325</v>
      </c>
      <c r="E82" s="2">
        <f>LOG('Balance BCCh'!F85)</f>
        <v>13.207677439295937</v>
      </c>
      <c r="F82" s="2">
        <f>LOG('Balance BCCh'!G85)</f>
        <v>12.367204879575514</v>
      </c>
      <c r="G82" s="2" t="e">
        <f>LOG('Balance BCCh'!#REF!)</f>
        <v>#REF!</v>
      </c>
      <c r="H82" s="2" t="e">
        <f>LOG('Balance BCCh'!#REF!)</f>
        <v>#REF!</v>
      </c>
      <c r="I82" s="2"/>
      <c r="J82" s="2">
        <f>LOG('Balance BCCh'!H85)</f>
        <v>13.082363397245283</v>
      </c>
      <c r="K82" s="2">
        <f>-LOG(ABS('Balance BCCh'!J85))</f>
        <v>-12.093733214716323</v>
      </c>
      <c r="M82" s="3"/>
    </row>
    <row r="83" spans="1:13" ht="15">
      <c r="A83" s="10">
        <v>2005</v>
      </c>
      <c r="B83" s="2">
        <f>LOG('Balance BCCh'!B86)</f>
        <v>13.131459005315493</v>
      </c>
      <c r="C83" s="2">
        <f>LOG('Balance BCCh'!C86)</f>
        <v>12.940652892736823</v>
      </c>
      <c r="D83" s="2">
        <f>LOG('Balance BCCh'!D86)</f>
        <v>12.222982843409618</v>
      </c>
      <c r="E83" s="2">
        <f>LOG('Balance BCCh'!F86)</f>
        <v>13.203003585429883</v>
      </c>
      <c r="F83" s="2">
        <f>LOG('Balance BCCh'!G86)</f>
        <v>12.504680591711757</v>
      </c>
      <c r="G83" s="2" t="e">
        <f>LOG('Balance BCCh'!#REF!)</f>
        <v>#REF!</v>
      </c>
      <c r="H83" s="2" t="e">
        <f>LOG('Balance BCCh'!#REF!)</f>
        <v>#REF!</v>
      </c>
      <c r="I83" s="2" t="e">
        <f>LOG('Balance BCCh'!#REF!)</f>
        <v>#REF!</v>
      </c>
      <c r="J83" s="2">
        <f>LOG('Balance BCCh'!H86)</f>
        <v>13.01164692259121</v>
      </c>
      <c r="K83" s="2">
        <f>-LOG(ABS('Balance BCCh'!J86))</f>
        <v>-12.384514698685653</v>
      </c>
      <c r="M83" s="3"/>
    </row>
    <row r="84" spans="1:13" ht="15">
      <c r="A84" s="10">
        <v>2006</v>
      </c>
      <c r="B84" s="2">
        <f>LOG('Balance BCCh'!B87)</f>
        <v>13.140794632152812</v>
      </c>
      <c r="C84" s="2">
        <f>LOG('Balance BCCh'!C87)</f>
        <v>13.016340040575637</v>
      </c>
      <c r="D84" s="2">
        <f>LOG('Balance BCCh'!D87)</f>
        <v>11.94857359568341</v>
      </c>
      <c r="E84" s="2">
        <f>LOG('Balance BCCh'!F87)</f>
        <v>13.203381672875967</v>
      </c>
      <c r="F84" s="2">
        <f>LOG('Balance BCCh'!G87)</f>
        <v>12.580538521070352</v>
      </c>
      <c r="G84" s="2" t="e">
        <f>LOG('Balance BCCh'!#REF!)</f>
        <v>#REF!</v>
      </c>
      <c r="H84" s="2" t="e">
        <f>LOG('Balance BCCh'!#REF!)</f>
        <v>#REF!</v>
      </c>
      <c r="I84" s="2" t="e">
        <f>LOG('Balance BCCh'!#REF!)</f>
        <v>#REF!</v>
      </c>
      <c r="J84" s="2">
        <f>LOG('Balance BCCh'!H87)</f>
        <v>12.931225995220164</v>
      </c>
      <c r="K84" s="2">
        <f>-LOG(ABS('Balance BCCh'!J87))</f>
        <v>-12.331164007951356</v>
      </c>
      <c r="M84" s="3"/>
    </row>
    <row r="85" spans="1:13" ht="15">
      <c r="A85" s="10">
        <v>2007</v>
      </c>
      <c r="B85" s="2">
        <f>LOG('Balance BCCh'!B88)</f>
        <v>13.039032146049832</v>
      </c>
      <c r="C85" s="2">
        <f>LOG('Balance BCCh'!C88)</f>
        <v>12.92347033694517</v>
      </c>
      <c r="D85" s="2">
        <f>LOG('Balance BCCh'!D88)</f>
        <v>11.46749385705147</v>
      </c>
      <c r="E85" s="2">
        <f>LOG('Balance BCCh'!F88)</f>
        <v>13.11784113927137</v>
      </c>
      <c r="F85" s="2">
        <f>LOG('Balance BCCh'!G88)</f>
        <v>12.568454398200146</v>
      </c>
      <c r="G85" s="2" t="e">
        <f>LOG('Balance BCCh'!#REF!)</f>
        <v>#REF!</v>
      </c>
      <c r="H85" s="2" t="e">
        <f>LOG('Balance BCCh'!#REF!)</f>
        <v>#REF!</v>
      </c>
      <c r="I85" s="2" t="e">
        <f>LOG('Balance BCCh'!#REF!)</f>
        <v>#REF!</v>
      </c>
      <c r="J85" s="2">
        <f>LOG('Balance BCCh'!H88)</f>
        <v>12.886133571370502</v>
      </c>
      <c r="K85" s="2">
        <f>-LOG(ABS('Balance BCCh'!J88))</f>
        <v>-12.337823823548895</v>
      </c>
      <c r="M85" s="3"/>
    </row>
    <row r="86" spans="1:13" ht="15">
      <c r="A86" s="10">
        <v>2008</v>
      </c>
      <c r="B86" s="2">
        <f>LOG('Balance BCCh'!B89)</f>
        <v>13.260849583642548</v>
      </c>
      <c r="C86" s="2">
        <f>LOG('Balance BCCh'!C89)</f>
        <v>13.16350918429216</v>
      </c>
      <c r="D86" s="2">
        <f>LOG('Balance BCCh'!D89)</f>
        <v>11.390089174956724</v>
      </c>
      <c r="E86" s="2">
        <f>LOG('Balance BCCh'!F89)</f>
        <v>13.245881195809087</v>
      </c>
      <c r="F86" s="2">
        <f>LOG('Balance BCCh'!G89)</f>
        <v>12.626318477560146</v>
      </c>
      <c r="G86" s="2" t="e">
        <f>LOG('Balance BCCh'!#REF!)</f>
        <v>#REF!</v>
      </c>
      <c r="H86" s="2" t="e">
        <f>LOG('Balance BCCh'!#REF!)</f>
        <v>#REF!</v>
      </c>
      <c r="I86" s="2"/>
      <c r="J86" s="2">
        <f>LOG('Balance BCCh'!H89)</f>
        <v>13.0274549389381</v>
      </c>
      <c r="K86" s="2">
        <f>LOG('Balance BCCh'!J89)</f>
        <v>11.790777601337695</v>
      </c>
      <c r="M86" s="3"/>
    </row>
    <row r="87" spans="1:13" ht="15">
      <c r="A87" s="10">
        <v>2009</v>
      </c>
      <c r="B87" s="2">
        <f>LOG('Balance BCCh'!B90)</f>
        <v>13.269792901005596</v>
      </c>
      <c r="C87" s="2">
        <f>LOG('Balance BCCh'!C90)</f>
        <v>13.108883173320802</v>
      </c>
      <c r="D87" s="2">
        <f>LOG('Balance BCCh'!D90)</f>
        <v>11.377330661229738</v>
      </c>
      <c r="E87" s="2">
        <f>LOG('Balance BCCh'!F90)</f>
        <v>13.313280608574923</v>
      </c>
      <c r="F87" s="2">
        <f>LOG('Balance BCCh'!G90)</f>
        <v>12.661074382189053</v>
      </c>
      <c r="G87" s="2" t="e">
        <f>LOG('Balance BCCh'!#REF!)</f>
        <v>#REF!</v>
      </c>
      <c r="H87" s="2" t="e">
        <f>LOG('Balance BCCh'!#REF!)</f>
        <v>#REF!</v>
      </c>
      <c r="I87" s="2"/>
      <c r="J87" s="2">
        <f>LOG('Balance BCCh'!H90)</f>
        <v>13.063677497599297</v>
      </c>
      <c r="K87" s="2">
        <f>-LOG(ABS('Balance BCCh'!J90))</f>
        <v>-12.29230038485908</v>
      </c>
      <c r="M87" s="3"/>
    </row>
    <row r="88" spans="1:13" ht="15">
      <c r="A88" s="10">
        <v>2010</v>
      </c>
      <c r="B88" s="2">
        <f>LOG('Balance BCCh'!B91)</f>
        <v>13.17871801910577</v>
      </c>
      <c r="C88" s="2">
        <f>LOG('Balance BCCh'!C91)</f>
        <v>13.115628382274956</v>
      </c>
      <c r="D88" s="2">
        <f>LOG('Balance BCCh'!D91)</f>
        <v>11.38783386116078</v>
      </c>
      <c r="E88" s="2">
        <f>LOG('Balance BCCh'!F91)</f>
        <v>13.268109729808478</v>
      </c>
      <c r="F88" s="2">
        <f>LOG('Balance BCCh'!G91)</f>
        <v>12.742332801152056</v>
      </c>
      <c r="G88" s="2" t="e">
        <f>LOG('Balance BCCh'!#REF!)</f>
        <v>#REF!</v>
      </c>
      <c r="H88" s="2" t="e">
        <f>LOG('Balance BCCh'!#REF!)</f>
        <v>#REF!</v>
      </c>
      <c r="I88" s="2"/>
      <c r="J88" s="2">
        <f>LOG('Balance BCCh'!H91)</f>
        <v>12.950155344399299</v>
      </c>
      <c r="K88" s="2">
        <f>-LOG(ABS('Balance BCCh'!J91))</f>
        <v>-12.53769319436739</v>
      </c>
      <c r="M88" s="3"/>
    </row>
    <row r="89" spans="1:13" ht="15">
      <c r="A89" s="10">
        <v>2011</v>
      </c>
      <c r="B89" s="2">
        <f>LOG('Balance BCCh'!B92)</f>
        <v>13.396408595224045</v>
      </c>
      <c r="C89" s="2">
        <f>LOG('Balance BCCh'!C92)</f>
        <v>13.340256518605477</v>
      </c>
      <c r="D89" s="2">
        <f>LOG('Balance BCCh'!D92)</f>
        <v>11.404482890713329</v>
      </c>
      <c r="E89" s="2">
        <f>LOG('Balance BCCh'!F92)</f>
        <v>13.435621430374859</v>
      </c>
      <c r="F89" s="2">
        <f>LOG('Balance BCCh'!G92)</f>
        <v>12.889877324238409</v>
      </c>
      <c r="G89" s="2" t="e">
        <f>LOG('Balance BCCh'!#REF!)</f>
        <v>#REF!</v>
      </c>
      <c r="H89" s="2" t="e">
        <f>LOG('Balance BCCh'!#REF!)</f>
        <v>#REF!</v>
      </c>
      <c r="I89" s="2" t="e">
        <f>LOG('Balance BCCh'!#REF!)</f>
        <v>#REF!</v>
      </c>
      <c r="J89" s="2">
        <f>LOG('Balance BCCh'!H92)</f>
        <v>13.120117553978133</v>
      </c>
      <c r="K89" s="2">
        <f>-LOG(ABS('Balance BCCh'!J92))</f>
        <v>-12.371806458507416</v>
      </c>
      <c r="M89" s="3"/>
    </row>
    <row r="90" spans="1:13" ht="15">
      <c r="A90" s="10">
        <v>2012</v>
      </c>
      <c r="B90" s="2">
        <f>LOG('Balance BCCh'!B93)</f>
        <v>13.363611979892145</v>
      </c>
      <c r="C90" s="2">
        <f>LOG('Balance BCCh'!C93)</f>
        <v>13.299582111629348</v>
      </c>
      <c r="D90" s="2">
        <f>LOG('Balance BCCh'!D93)</f>
        <v>11.415004582643014</v>
      </c>
      <c r="E90" s="2">
        <f>LOG('Balance BCCh'!F93)</f>
        <v>13.44057851483637</v>
      </c>
      <c r="F90" s="2">
        <f>LOG('Balance BCCh'!G93)</f>
        <v>12.935549937443627</v>
      </c>
      <c r="G90" s="2" t="e">
        <f>LOG('Balance BCCh'!#REF!)</f>
        <v>#REF!</v>
      </c>
      <c r="H90" s="2" t="e">
        <f>LOG('Balance BCCh'!#REF!)</f>
        <v>#REF!</v>
      </c>
      <c r="I90" s="2" t="e">
        <f>LOG('Balance BCCh'!#REF!)</f>
        <v>#REF!</v>
      </c>
      <c r="J90" s="2">
        <f>LOG('Balance BCCh'!H93)</f>
        <v>13.110759842975144</v>
      </c>
      <c r="K90" s="2">
        <f>-LOG(ABS('Balance BCCh'!J93))</f>
        <v>-12.651181062444687</v>
      </c>
      <c r="M90" s="3"/>
    </row>
    <row r="91" spans="1:13" ht="15">
      <c r="A91" s="10">
        <v>2013</v>
      </c>
      <c r="B91" s="2">
        <f>LOG('Balance BCCh'!B94)</f>
        <v>13.372193719275733</v>
      </c>
      <c r="C91" s="2">
        <f>LOG('Balance BCCh'!C94)</f>
        <v>13.33290725494671</v>
      </c>
      <c r="D91" s="2">
        <f>LOG('Balance BCCh'!D94)</f>
        <v>11.423828257307164</v>
      </c>
      <c r="E91" s="2">
        <f>LOG('Balance BCCh'!F94)</f>
        <v>13.437449305249805</v>
      </c>
      <c r="F91" s="2">
        <f>LOG('Balance BCCh'!G94)</f>
        <v>12.94223005228216</v>
      </c>
      <c r="G91" s="2" t="e">
        <f>LOG('Balance BCCh'!#REF!)</f>
        <v>#REF!</v>
      </c>
      <c r="H91" s="2" t="e">
        <f>LOG('Balance BCCh'!#REF!)</f>
        <v>#REF!</v>
      </c>
      <c r="I91" s="2" t="e">
        <f>LOG('Balance BCCh'!#REF!)</f>
        <v>#REF!</v>
      </c>
      <c r="J91" s="2">
        <f>LOG('Balance BCCh'!H94)</f>
        <v>13.115045135021267</v>
      </c>
      <c r="K91" s="2">
        <f>-LOG(ABS('Balance BCCh'!J94))</f>
        <v>-12.58206336291171</v>
      </c>
      <c r="M9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="70" zoomScaleNormal="70" zoomScalePageLayoutView="0" workbookViewId="0" topLeftCell="A1">
      <pane xSplit="1" ySplit="6" topLeftCell="B7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3" sqref="E113"/>
    </sheetView>
  </sheetViews>
  <sheetFormatPr defaultColWidth="11.421875" defaultRowHeight="15"/>
  <cols>
    <col min="1" max="1" width="9.28125" style="4" customWidth="1"/>
    <col min="2" max="2" width="23.7109375" style="61" customWidth="1"/>
    <col min="3" max="3" width="20.00390625" style="61" bestFit="1" customWidth="1"/>
    <col min="4" max="4" width="17.8515625" style="61" bestFit="1" customWidth="1"/>
    <col min="5" max="5" width="23.140625" style="61" bestFit="1" customWidth="1"/>
    <col min="6" max="6" width="27.7109375" style="61" bestFit="1" customWidth="1"/>
    <col min="7" max="16384" width="11.421875" style="5" customWidth="1"/>
  </cols>
  <sheetData>
    <row r="1" spans="5:6" ht="15">
      <c r="E1" s="62"/>
      <c r="F1" s="62"/>
    </row>
    <row r="2" spans="1:6" ht="18.75">
      <c r="A2" s="59" t="s">
        <v>52</v>
      </c>
      <c r="E2" s="62"/>
      <c r="F2" s="62"/>
    </row>
    <row r="3" spans="1:6" ht="18.75">
      <c r="A3" s="59" t="s">
        <v>51</v>
      </c>
      <c r="E3" s="62"/>
      <c r="F3" s="62"/>
    </row>
    <row r="4" spans="5:6" ht="15">
      <c r="E4" s="62"/>
      <c r="F4" s="62"/>
    </row>
    <row r="5" spans="5:6" ht="15">
      <c r="E5" s="62"/>
      <c r="F5" s="62"/>
    </row>
    <row r="6" spans="1:6" s="60" customFormat="1" ht="30">
      <c r="A6" s="9" t="s">
        <v>1</v>
      </c>
      <c r="B6" s="63" t="s">
        <v>18</v>
      </c>
      <c r="C6" s="64" t="s">
        <v>45</v>
      </c>
      <c r="D6" s="64" t="s">
        <v>48</v>
      </c>
      <c r="E6" s="64" t="s">
        <v>49</v>
      </c>
      <c r="F6" s="64" t="s">
        <v>57</v>
      </c>
    </row>
    <row r="7" spans="1:6" ht="15">
      <c r="A7" s="4">
        <v>1926</v>
      </c>
      <c r="B7" s="65">
        <v>472.74680244</v>
      </c>
      <c r="C7" s="61">
        <v>472.74680244</v>
      </c>
      <c r="D7" s="61">
        <v>0</v>
      </c>
      <c r="E7" s="62">
        <v>0</v>
      </c>
      <c r="F7" s="62">
        <v>0</v>
      </c>
    </row>
    <row r="8" spans="1:6" ht="15">
      <c r="A8" s="4">
        <v>1927</v>
      </c>
      <c r="B8" s="65">
        <v>458.12721501</v>
      </c>
      <c r="C8" s="61">
        <v>458.12721501</v>
      </c>
      <c r="D8" s="61">
        <v>0</v>
      </c>
      <c r="E8" s="62">
        <v>0</v>
      </c>
      <c r="F8" s="62">
        <v>0</v>
      </c>
    </row>
    <row r="9" spans="1:6" ht="15">
      <c r="A9" s="4">
        <v>1928</v>
      </c>
      <c r="B9" s="65">
        <v>505.84955316</v>
      </c>
      <c r="C9" s="61">
        <v>505.84955316</v>
      </c>
      <c r="D9" s="61">
        <v>0</v>
      </c>
      <c r="E9" s="62">
        <v>0</v>
      </c>
      <c r="F9" s="62">
        <v>0</v>
      </c>
    </row>
    <row r="10" spans="1:6" ht="15">
      <c r="A10" s="4">
        <v>1929</v>
      </c>
      <c r="B10" s="65">
        <v>447.72319677999997</v>
      </c>
      <c r="C10" s="61">
        <v>447.72319677999997</v>
      </c>
      <c r="D10" s="61">
        <v>0</v>
      </c>
      <c r="E10" s="62">
        <v>0</v>
      </c>
      <c r="F10" s="62">
        <v>0</v>
      </c>
    </row>
    <row r="11" spans="1:6" ht="15">
      <c r="A11" s="4">
        <v>1930</v>
      </c>
      <c r="B11" s="65">
        <v>340.78872376</v>
      </c>
      <c r="C11" s="61">
        <v>340.78872376</v>
      </c>
      <c r="D11" s="61">
        <v>0</v>
      </c>
      <c r="E11" s="62">
        <v>0</v>
      </c>
      <c r="F11" s="62">
        <v>0</v>
      </c>
    </row>
    <row r="12" spans="1:6" ht="15">
      <c r="A12" s="4">
        <v>1931</v>
      </c>
      <c r="B12" s="65">
        <v>194.54880809</v>
      </c>
      <c r="C12" s="61">
        <v>194.54880809</v>
      </c>
      <c r="D12" s="61">
        <v>0</v>
      </c>
      <c r="E12" s="62">
        <v>0</v>
      </c>
      <c r="F12" s="62">
        <v>0</v>
      </c>
    </row>
    <row r="13" spans="1:6" ht="15">
      <c r="A13" s="4">
        <v>1932</v>
      </c>
      <c r="B13" s="65">
        <v>153.58202369</v>
      </c>
      <c r="C13" s="61">
        <v>153.58202369</v>
      </c>
      <c r="D13" s="61">
        <v>0</v>
      </c>
      <c r="E13" s="62">
        <v>0</v>
      </c>
      <c r="F13" s="62">
        <v>0</v>
      </c>
    </row>
    <row r="14" spans="1:6" ht="15">
      <c r="A14" s="4">
        <v>1933</v>
      </c>
      <c r="B14" s="65">
        <v>167.02528556000001</v>
      </c>
      <c r="C14" s="61">
        <v>167.02528556000001</v>
      </c>
      <c r="D14" s="61">
        <v>0</v>
      </c>
      <c r="E14" s="62">
        <v>0</v>
      </c>
      <c r="F14" s="62">
        <v>0</v>
      </c>
    </row>
    <row r="15" spans="1:6" ht="15">
      <c r="A15" s="4">
        <v>1934</v>
      </c>
      <c r="B15" s="65">
        <v>141.81653061</v>
      </c>
      <c r="C15" s="61">
        <v>141.81653061</v>
      </c>
      <c r="D15" s="61">
        <v>0</v>
      </c>
      <c r="E15" s="62">
        <v>0</v>
      </c>
      <c r="F15" s="62">
        <v>0</v>
      </c>
    </row>
    <row r="16" spans="1:6" ht="15">
      <c r="A16" s="4">
        <v>1935</v>
      </c>
      <c r="B16" s="65">
        <v>142.44164358</v>
      </c>
      <c r="C16" s="61">
        <v>142.44164358</v>
      </c>
      <c r="D16" s="61">
        <v>0</v>
      </c>
      <c r="E16" s="62">
        <v>0</v>
      </c>
      <c r="F16" s="62">
        <v>0</v>
      </c>
    </row>
    <row r="17" spans="1:6" ht="15">
      <c r="A17" s="4">
        <v>1936</v>
      </c>
      <c r="B17" s="65">
        <v>143.17591216</v>
      </c>
      <c r="C17" s="61">
        <v>143.17591216</v>
      </c>
      <c r="D17" s="61">
        <v>0</v>
      </c>
      <c r="E17" s="62">
        <v>0</v>
      </c>
      <c r="F17" s="62">
        <v>0</v>
      </c>
    </row>
    <row r="18" spans="1:6" ht="15">
      <c r="A18" s="4">
        <v>1937</v>
      </c>
      <c r="B18" s="65">
        <v>144.19598116</v>
      </c>
      <c r="C18" s="61">
        <v>144.19598116</v>
      </c>
      <c r="D18" s="61">
        <v>0</v>
      </c>
      <c r="E18" s="62">
        <v>0</v>
      </c>
      <c r="F18" s="62">
        <v>0</v>
      </c>
    </row>
    <row r="19" spans="1:6" ht="15">
      <c r="A19" s="4">
        <v>1938</v>
      </c>
      <c r="B19" s="65">
        <v>145.15532522</v>
      </c>
      <c r="C19" s="61">
        <v>145.15532522</v>
      </c>
      <c r="D19" s="61">
        <v>0</v>
      </c>
      <c r="E19" s="62">
        <v>0</v>
      </c>
      <c r="F19" s="62">
        <v>0</v>
      </c>
    </row>
    <row r="20" spans="1:6" ht="15">
      <c r="A20" s="4">
        <v>1939</v>
      </c>
      <c r="B20" s="65">
        <v>145.95836799</v>
      </c>
      <c r="C20" s="61">
        <v>145.95836799</v>
      </c>
      <c r="D20" s="61">
        <v>0</v>
      </c>
      <c r="E20" s="62">
        <v>0</v>
      </c>
      <c r="F20" s="62">
        <v>0</v>
      </c>
    </row>
    <row r="21" spans="1:6" ht="15">
      <c r="A21" s="4">
        <v>1940</v>
      </c>
      <c r="B21" s="65">
        <v>146.92608664</v>
      </c>
      <c r="C21" s="61">
        <v>146.92608664</v>
      </c>
      <c r="D21" s="61">
        <v>0</v>
      </c>
      <c r="E21" s="62">
        <v>0</v>
      </c>
      <c r="F21" s="62">
        <v>0</v>
      </c>
    </row>
    <row r="22" spans="1:6" ht="15">
      <c r="A22" s="4">
        <v>1941</v>
      </c>
      <c r="B22" s="65">
        <v>148.00722245000003</v>
      </c>
      <c r="C22" s="61">
        <v>148.00722245000003</v>
      </c>
      <c r="D22" s="61">
        <v>0</v>
      </c>
      <c r="E22" s="62">
        <v>0</v>
      </c>
      <c r="F22" s="62">
        <v>0</v>
      </c>
    </row>
    <row r="23" spans="1:6" ht="15">
      <c r="A23" s="4">
        <v>1942</v>
      </c>
      <c r="B23" s="65">
        <v>272.50470281</v>
      </c>
      <c r="C23" s="61">
        <v>272.50470281</v>
      </c>
      <c r="D23" s="61">
        <v>0</v>
      </c>
      <c r="E23" s="62">
        <v>0</v>
      </c>
      <c r="F23" s="62">
        <v>0</v>
      </c>
    </row>
    <row r="24" spans="1:6" ht="15">
      <c r="A24" s="4">
        <v>1943</v>
      </c>
      <c r="B24" s="65">
        <v>335.90665524</v>
      </c>
      <c r="C24" s="61">
        <v>335.90665524</v>
      </c>
      <c r="D24" s="61">
        <v>0</v>
      </c>
      <c r="E24" s="62">
        <v>0</v>
      </c>
      <c r="F24" s="62">
        <v>0</v>
      </c>
    </row>
    <row r="25" spans="1:6" ht="15">
      <c r="A25" s="4">
        <v>1944</v>
      </c>
      <c r="B25" s="65">
        <v>397.95165390000005</v>
      </c>
      <c r="C25" s="61">
        <v>397.95165390000005</v>
      </c>
      <c r="D25" s="61">
        <v>0</v>
      </c>
      <c r="E25" s="62">
        <v>0</v>
      </c>
      <c r="F25" s="62">
        <v>0</v>
      </c>
    </row>
    <row r="26" spans="1:6" ht="15">
      <c r="A26" s="4">
        <v>1945</v>
      </c>
      <c r="B26" s="65">
        <v>474.44740684000004</v>
      </c>
      <c r="C26" s="61">
        <v>474.44740684000004</v>
      </c>
      <c r="D26" s="61">
        <v>0</v>
      </c>
      <c r="E26" s="62">
        <v>0</v>
      </c>
      <c r="F26" s="62">
        <v>0</v>
      </c>
    </row>
    <row r="27" spans="1:6" ht="15">
      <c r="A27" s="4">
        <v>1946</v>
      </c>
      <c r="B27" s="65">
        <v>318.26490283</v>
      </c>
      <c r="C27" s="61">
        <v>318.26490283</v>
      </c>
      <c r="D27" s="61">
        <v>0</v>
      </c>
      <c r="E27" s="62">
        <v>0</v>
      </c>
      <c r="F27" s="62">
        <v>0</v>
      </c>
    </row>
    <row r="28" spans="1:6" ht="15">
      <c r="A28" s="4">
        <v>1947</v>
      </c>
      <c r="B28" s="65">
        <v>295.42804503</v>
      </c>
      <c r="C28" s="61">
        <v>252.28294048</v>
      </c>
      <c r="D28" s="61">
        <v>0</v>
      </c>
      <c r="E28" s="62">
        <v>43.14510455</v>
      </c>
      <c r="F28" s="62">
        <v>0</v>
      </c>
    </row>
    <row r="29" spans="1:6" ht="15">
      <c r="A29" s="4">
        <v>1948</v>
      </c>
      <c r="B29" s="65">
        <v>2185.57</v>
      </c>
      <c r="C29" s="61">
        <v>1912.211</v>
      </c>
      <c r="D29" s="61">
        <v>0</v>
      </c>
      <c r="E29" s="62">
        <v>273.359</v>
      </c>
      <c r="F29" s="62">
        <v>0</v>
      </c>
    </row>
    <row r="30" spans="1:6" ht="15">
      <c r="A30" s="4">
        <v>1949</v>
      </c>
      <c r="B30" s="65">
        <v>1873.139</v>
      </c>
      <c r="C30" s="61">
        <v>1584.673</v>
      </c>
      <c r="D30" s="61">
        <v>0</v>
      </c>
      <c r="E30" s="62">
        <v>288.466</v>
      </c>
      <c r="F30" s="62">
        <v>0</v>
      </c>
    </row>
    <row r="31" spans="1:6" ht="15">
      <c r="A31" s="4">
        <v>1950</v>
      </c>
      <c r="B31" s="65">
        <v>2201.5</v>
      </c>
      <c r="C31" s="61">
        <v>1901.484</v>
      </c>
      <c r="D31" s="61">
        <v>0</v>
      </c>
      <c r="E31" s="62">
        <v>300.016</v>
      </c>
      <c r="F31" s="62">
        <v>0</v>
      </c>
    </row>
    <row r="32" spans="1:6" ht="15">
      <c r="A32" s="4">
        <v>1951</v>
      </c>
      <c r="B32" s="65">
        <v>2282.8740000000003</v>
      </c>
      <c r="C32" s="61">
        <v>1910.125</v>
      </c>
      <c r="D32" s="61">
        <v>0</v>
      </c>
      <c r="E32" s="62">
        <v>372.749</v>
      </c>
      <c r="F32" s="62">
        <v>0</v>
      </c>
    </row>
    <row r="33" spans="1:6" ht="15">
      <c r="A33" s="4">
        <v>1952</v>
      </c>
      <c r="B33" s="65">
        <v>2736.283</v>
      </c>
      <c r="C33" s="61">
        <v>2372.576</v>
      </c>
      <c r="D33" s="61">
        <v>0</v>
      </c>
      <c r="E33" s="62">
        <v>363.707</v>
      </c>
      <c r="F33" s="62">
        <v>0</v>
      </c>
    </row>
    <row r="34" spans="1:6" ht="15">
      <c r="A34" s="4">
        <v>1953</v>
      </c>
      <c r="B34" s="65">
        <v>9711.613</v>
      </c>
      <c r="C34" s="61">
        <v>8434.342</v>
      </c>
      <c r="D34" s="61">
        <v>0</v>
      </c>
      <c r="E34" s="62">
        <v>1277.2710000000002</v>
      </c>
      <c r="F34" s="62">
        <v>0</v>
      </c>
    </row>
    <row r="35" spans="1:6" ht="15">
      <c r="A35" s="4">
        <v>1954</v>
      </c>
      <c r="B35" s="65">
        <v>10221.665</v>
      </c>
      <c r="C35" s="61">
        <v>6940.917</v>
      </c>
      <c r="D35" s="61">
        <v>0</v>
      </c>
      <c r="E35" s="62">
        <v>3280.7480000000005</v>
      </c>
      <c r="F35" s="62">
        <v>0</v>
      </c>
    </row>
    <row r="36" spans="1:6" ht="15">
      <c r="A36" s="4">
        <v>1955</v>
      </c>
      <c r="B36" s="65">
        <v>4530.382</v>
      </c>
      <c r="C36" s="61">
        <v>50.727</v>
      </c>
      <c r="D36" s="61">
        <v>0</v>
      </c>
      <c r="E36" s="62">
        <v>4479.655</v>
      </c>
      <c r="F36" s="62">
        <v>0</v>
      </c>
    </row>
    <row r="37" spans="1:6" ht="15">
      <c r="A37" s="4">
        <v>1956</v>
      </c>
      <c r="B37" s="65">
        <v>18068.509</v>
      </c>
      <c r="C37" s="61">
        <v>7971.256</v>
      </c>
      <c r="D37" s="61">
        <v>0</v>
      </c>
      <c r="E37" s="62">
        <v>10097.252999999999</v>
      </c>
      <c r="F37" s="62">
        <v>0</v>
      </c>
    </row>
    <row r="38" spans="1:6" ht="15">
      <c r="A38" s="4">
        <v>1957</v>
      </c>
      <c r="B38" s="65">
        <v>7918.5740000000005</v>
      </c>
      <c r="C38" s="61">
        <v>5798.51</v>
      </c>
      <c r="D38" s="61">
        <v>0</v>
      </c>
      <c r="E38" s="62">
        <v>2120.0640000000003</v>
      </c>
      <c r="F38" s="62">
        <v>0</v>
      </c>
    </row>
    <row r="39" spans="1:6" ht="15">
      <c r="A39" s="4">
        <v>1958</v>
      </c>
      <c r="B39" s="65">
        <v>9272.171</v>
      </c>
      <c r="C39" s="61">
        <v>6680.866</v>
      </c>
      <c r="D39" s="61">
        <v>0</v>
      </c>
      <c r="E39" s="62">
        <v>2591.3050000000003</v>
      </c>
      <c r="F39" s="62">
        <v>0</v>
      </c>
    </row>
    <row r="40" spans="1:6" ht="15">
      <c r="A40" s="4">
        <v>1959</v>
      </c>
      <c r="B40" s="65">
        <v>154163.7643</v>
      </c>
      <c r="C40" s="61">
        <v>150729.606</v>
      </c>
      <c r="D40" s="61">
        <v>0</v>
      </c>
      <c r="E40" s="62">
        <v>3434.1583</v>
      </c>
      <c r="F40" s="62">
        <v>0</v>
      </c>
    </row>
    <row r="41" spans="1:6" ht="15">
      <c r="A41" s="4">
        <v>1960</v>
      </c>
      <c r="B41" s="65">
        <v>134722.19999999998</v>
      </c>
      <c r="C41" s="61">
        <v>116445.09999999999</v>
      </c>
      <c r="D41" s="61">
        <v>0</v>
      </c>
      <c r="E41" s="62">
        <v>18277.100000000002</v>
      </c>
      <c r="F41" s="62">
        <v>0</v>
      </c>
    </row>
    <row r="42" spans="1:6" ht="15">
      <c r="A42" s="4">
        <v>1961</v>
      </c>
      <c r="B42" s="65">
        <v>99882</v>
      </c>
      <c r="C42" s="61">
        <v>77470.29999999999</v>
      </c>
      <c r="D42" s="61">
        <v>0</v>
      </c>
      <c r="E42" s="62">
        <v>22411.7</v>
      </c>
      <c r="F42" s="62">
        <v>0</v>
      </c>
    </row>
    <row r="43" spans="1:6" ht="15">
      <c r="A43" s="4">
        <v>1962</v>
      </c>
      <c r="B43" s="65">
        <v>209804.61600000004</v>
      </c>
      <c r="C43" s="61">
        <v>176968.17600000004</v>
      </c>
      <c r="D43" s="61">
        <v>0</v>
      </c>
      <c r="E43" s="62">
        <v>32836.44</v>
      </c>
      <c r="F43" s="62">
        <v>0</v>
      </c>
    </row>
    <row r="44" spans="1:6" ht="15">
      <c r="A44" s="4">
        <v>1963</v>
      </c>
      <c r="B44" s="65">
        <v>264401.19999999995</v>
      </c>
      <c r="C44" s="61">
        <v>221765.19999999998</v>
      </c>
      <c r="D44" s="61">
        <v>0</v>
      </c>
      <c r="E44" s="62">
        <v>42636</v>
      </c>
      <c r="F44" s="62">
        <v>0</v>
      </c>
    </row>
    <row r="45" spans="1:6" ht="15">
      <c r="A45" s="4">
        <v>1964</v>
      </c>
      <c r="B45" s="65">
        <v>296984.33999999997</v>
      </c>
      <c r="C45" s="61">
        <v>239425.74</v>
      </c>
      <c r="D45" s="61">
        <v>0</v>
      </c>
      <c r="E45" s="62">
        <v>57558.600000000006</v>
      </c>
      <c r="F45" s="62">
        <v>0</v>
      </c>
    </row>
    <row r="46" spans="1:6" ht="15">
      <c r="A46" s="4">
        <v>1965</v>
      </c>
      <c r="B46" s="65">
        <v>549441.0800000001</v>
      </c>
      <c r="C46" s="61">
        <v>475680.80000000005</v>
      </c>
      <c r="D46" s="61">
        <v>0</v>
      </c>
      <c r="E46" s="62">
        <v>73760.28</v>
      </c>
      <c r="F46" s="62">
        <v>0</v>
      </c>
    </row>
    <row r="47" spans="1:6" ht="15">
      <c r="A47" s="4">
        <v>1966</v>
      </c>
      <c r="B47" s="65">
        <v>840037.9</v>
      </c>
      <c r="C47" s="61">
        <v>746897.1</v>
      </c>
      <c r="D47" s="61">
        <v>0</v>
      </c>
      <c r="E47" s="62">
        <v>93140.8</v>
      </c>
      <c r="F47" s="62">
        <v>0</v>
      </c>
    </row>
    <row r="48" spans="1:6" ht="15">
      <c r="A48" s="4">
        <v>1967</v>
      </c>
      <c r="B48" s="65">
        <v>730563.8</v>
      </c>
      <c r="C48" s="61">
        <v>721388.5</v>
      </c>
      <c r="D48" s="61">
        <v>0</v>
      </c>
      <c r="E48" s="62">
        <v>9175.3</v>
      </c>
      <c r="F48" s="62">
        <v>0</v>
      </c>
    </row>
    <row r="49" spans="1:6" ht="15">
      <c r="A49" s="4">
        <v>1968</v>
      </c>
      <c r="B49" s="65">
        <v>1797798.5999999999</v>
      </c>
      <c r="C49" s="61">
        <v>1568031.0999999999</v>
      </c>
      <c r="D49" s="61">
        <v>0</v>
      </c>
      <c r="E49" s="62">
        <v>229767.5</v>
      </c>
      <c r="F49" s="62">
        <v>0</v>
      </c>
    </row>
    <row r="50" spans="1:6" ht="15">
      <c r="A50" s="4">
        <v>1969</v>
      </c>
      <c r="B50" s="65">
        <f aca="true" t="shared" si="0" ref="B50:B96">SUM(D50:E50,F50)+C50</f>
        <v>3673971.8</v>
      </c>
      <c r="C50" s="61">
        <v>3339786.9</v>
      </c>
      <c r="D50" s="61">
        <v>0</v>
      </c>
      <c r="E50" s="62">
        <v>334184.9</v>
      </c>
      <c r="F50" s="62">
        <v>0</v>
      </c>
    </row>
    <row r="51" spans="1:6" ht="15">
      <c r="A51" s="4">
        <v>1970</v>
      </c>
      <c r="B51" s="65">
        <f t="shared" si="0"/>
        <v>5152695</v>
      </c>
      <c r="C51" s="61">
        <v>4365526.8</v>
      </c>
      <c r="D51" s="61">
        <v>0</v>
      </c>
      <c r="E51" s="62">
        <v>787168.2</v>
      </c>
      <c r="F51" s="62">
        <v>0</v>
      </c>
    </row>
    <row r="52" spans="1:6" ht="15">
      <c r="A52" s="4">
        <v>1971</v>
      </c>
      <c r="B52" s="65">
        <f t="shared" si="0"/>
        <v>3828492</v>
      </c>
      <c r="C52" s="61">
        <v>2655668</v>
      </c>
      <c r="D52" s="61">
        <v>0</v>
      </c>
      <c r="E52" s="62">
        <v>1172824</v>
      </c>
      <c r="F52" s="62">
        <v>0</v>
      </c>
    </row>
    <row r="53" spans="1:6" ht="15">
      <c r="A53" s="4">
        <v>1972</v>
      </c>
      <c r="B53" s="65">
        <f t="shared" si="0"/>
        <v>4782608</v>
      </c>
      <c r="C53" s="61">
        <v>3720545</v>
      </c>
      <c r="D53" s="61">
        <v>0</v>
      </c>
      <c r="E53" s="62">
        <v>1062063</v>
      </c>
      <c r="F53" s="62">
        <v>0</v>
      </c>
    </row>
    <row r="54" spans="1:6" ht="15">
      <c r="A54" s="4">
        <v>1973</v>
      </c>
      <c r="B54" s="65">
        <f t="shared" si="0"/>
        <v>102522114</v>
      </c>
      <c r="C54" s="61">
        <v>65267499</v>
      </c>
      <c r="D54" s="61">
        <v>359993</v>
      </c>
      <c r="E54" s="62">
        <v>36894622</v>
      </c>
      <c r="F54" s="62">
        <v>0</v>
      </c>
    </row>
    <row r="55" spans="1:6" ht="15">
      <c r="A55" s="4">
        <v>1974</v>
      </c>
      <c r="B55" s="65">
        <f t="shared" si="0"/>
        <v>517835049</v>
      </c>
      <c r="C55" s="61">
        <v>166595107</v>
      </c>
      <c r="D55" s="61">
        <v>628702</v>
      </c>
      <c r="E55" s="62">
        <v>350611240</v>
      </c>
      <c r="F55" s="62">
        <v>0</v>
      </c>
    </row>
    <row r="56" spans="1:6" ht="15">
      <c r="A56" s="4">
        <v>1975</v>
      </c>
      <c r="B56" s="65">
        <f t="shared" si="0"/>
        <v>2002881773</v>
      </c>
      <c r="C56" s="61">
        <v>731609774</v>
      </c>
      <c r="D56" s="61">
        <v>2776386</v>
      </c>
      <c r="E56" s="62">
        <v>1268495613</v>
      </c>
      <c r="F56" s="62">
        <v>0</v>
      </c>
    </row>
    <row r="57" spans="1:6" ht="15">
      <c r="A57" s="4">
        <v>1976</v>
      </c>
      <c r="B57" s="65">
        <f t="shared" si="0"/>
        <v>11427454282</v>
      </c>
      <c r="C57" s="61">
        <v>6959179675</v>
      </c>
      <c r="D57" s="61">
        <v>139791452</v>
      </c>
      <c r="E57" s="62">
        <v>4328483155</v>
      </c>
      <c r="F57" s="62">
        <v>0</v>
      </c>
    </row>
    <row r="58" spans="1:6" ht="15">
      <c r="A58" s="4">
        <v>1977</v>
      </c>
      <c r="B58" s="65">
        <f t="shared" si="0"/>
        <v>20063981947</v>
      </c>
      <c r="C58" s="61">
        <v>11291000489</v>
      </c>
      <c r="D58" s="61">
        <v>496152549</v>
      </c>
      <c r="E58" s="62">
        <v>8276828909</v>
      </c>
      <c r="F58" s="62">
        <v>0</v>
      </c>
    </row>
    <row r="59" spans="1:6" ht="15">
      <c r="A59" s="4">
        <v>1978</v>
      </c>
      <c r="B59" s="65">
        <f t="shared" si="0"/>
        <v>47846403290</v>
      </c>
      <c r="C59" s="61">
        <v>36312450553</v>
      </c>
      <c r="D59" s="61">
        <v>1400032742</v>
      </c>
      <c r="E59" s="62">
        <v>10133919995</v>
      </c>
      <c r="F59" s="62">
        <v>0</v>
      </c>
    </row>
    <row r="60" spans="1:6" ht="15">
      <c r="A60" s="4">
        <v>1979</v>
      </c>
      <c r="B60" s="65">
        <f t="shared" si="0"/>
        <v>121399359000</v>
      </c>
      <c r="C60" s="61">
        <v>83792908000</v>
      </c>
      <c r="D60" s="61">
        <v>15859838000</v>
      </c>
      <c r="E60" s="62">
        <v>14380094000</v>
      </c>
      <c r="F60" s="62">
        <v>7366519000</v>
      </c>
    </row>
    <row r="61" spans="1:6" ht="15">
      <c r="A61" s="4">
        <v>1980</v>
      </c>
      <c r="B61" s="65">
        <f t="shared" si="0"/>
        <v>179429880000</v>
      </c>
      <c r="C61" s="61">
        <v>134700029000</v>
      </c>
      <c r="D61" s="61">
        <v>18604899000</v>
      </c>
      <c r="E61" s="62">
        <v>17837518000</v>
      </c>
      <c r="F61" s="62">
        <v>8287434000</v>
      </c>
    </row>
    <row r="62" spans="1:6" ht="15">
      <c r="A62" s="4">
        <v>1981</v>
      </c>
      <c r="B62" s="65">
        <f t="shared" si="0"/>
        <v>161123600000</v>
      </c>
      <c r="C62" s="61">
        <v>132965200000.00002</v>
      </c>
      <c r="D62" s="61">
        <v>245300000</v>
      </c>
      <c r="E62" s="62">
        <v>13645500000</v>
      </c>
      <c r="F62" s="62">
        <v>14267600000</v>
      </c>
    </row>
    <row r="63" spans="1:6" ht="15">
      <c r="A63" s="4">
        <v>1982</v>
      </c>
      <c r="B63" s="65">
        <f t="shared" si="0"/>
        <v>220276100000</v>
      </c>
      <c r="C63" s="61">
        <v>163525100000</v>
      </c>
      <c r="D63" s="61">
        <v>831200000</v>
      </c>
      <c r="E63" s="62">
        <v>45652600000</v>
      </c>
      <c r="F63" s="62">
        <v>10267200000</v>
      </c>
    </row>
    <row r="64" spans="1:6" ht="15">
      <c r="A64" s="4">
        <v>1983</v>
      </c>
      <c r="B64" s="65">
        <f t="shared" si="0"/>
        <v>282792600000</v>
      </c>
      <c r="C64" s="61">
        <v>215331600000</v>
      </c>
      <c r="D64" s="61">
        <v>3511600000</v>
      </c>
      <c r="E64" s="62">
        <v>54852500000</v>
      </c>
      <c r="F64" s="62">
        <v>9096900000</v>
      </c>
    </row>
    <row r="65" spans="1:6" ht="15">
      <c r="A65" s="4">
        <v>1984</v>
      </c>
      <c r="B65" s="65">
        <f t="shared" si="0"/>
        <v>445220900000</v>
      </c>
      <c r="C65" s="61">
        <v>301601500000</v>
      </c>
      <c r="D65" s="61">
        <v>2815000000</v>
      </c>
      <c r="E65" s="62">
        <v>83316800000</v>
      </c>
      <c r="F65" s="62">
        <v>57487600000</v>
      </c>
    </row>
    <row r="66" spans="1:6" ht="15">
      <c r="A66" s="4">
        <v>1985</v>
      </c>
      <c r="B66" s="65">
        <f t="shared" si="0"/>
        <v>652004300000</v>
      </c>
      <c r="C66" s="61">
        <v>339453600000</v>
      </c>
      <c r="D66" s="61">
        <v>215000000</v>
      </c>
      <c r="E66" s="62">
        <v>117077600000</v>
      </c>
      <c r="F66" s="62">
        <v>195258100000</v>
      </c>
    </row>
    <row r="67" spans="1:6" ht="15">
      <c r="A67" s="4">
        <v>1986</v>
      </c>
      <c r="B67" s="65">
        <f t="shared" si="0"/>
        <v>772370100000</v>
      </c>
      <c r="C67" s="61">
        <v>267579500000</v>
      </c>
      <c r="D67" s="61">
        <v>897900000</v>
      </c>
      <c r="E67" s="62">
        <v>163314900000</v>
      </c>
      <c r="F67" s="62">
        <v>340577800000</v>
      </c>
    </row>
    <row r="68" spans="1:6" ht="15">
      <c r="A68" s="4">
        <v>1987</v>
      </c>
      <c r="B68" s="65">
        <f t="shared" si="0"/>
        <v>983819100000</v>
      </c>
      <c r="C68" s="61">
        <v>411031500000</v>
      </c>
      <c r="D68" s="61">
        <v>102900000</v>
      </c>
      <c r="E68" s="62">
        <v>229999600000</v>
      </c>
      <c r="F68" s="62">
        <v>342685100000</v>
      </c>
    </row>
    <row r="69" spans="1:6" ht="15">
      <c r="A69" s="4">
        <v>1988</v>
      </c>
      <c r="B69" s="65">
        <f t="shared" si="0"/>
        <v>1203688400000</v>
      </c>
      <c r="C69" s="61">
        <v>508656800000</v>
      </c>
      <c r="D69" s="61">
        <v>95800000</v>
      </c>
      <c r="E69" s="62">
        <v>255920200000</v>
      </c>
      <c r="F69" s="62">
        <v>439015600000</v>
      </c>
    </row>
    <row r="70" spans="1:6" ht="15">
      <c r="A70" s="4">
        <v>1989</v>
      </c>
      <c r="B70" s="65">
        <f t="shared" si="0"/>
        <v>1493622100000</v>
      </c>
      <c r="C70" s="61">
        <v>562974300000</v>
      </c>
      <c r="D70" s="61">
        <v>497300000</v>
      </c>
      <c r="E70" s="62">
        <v>306556800000</v>
      </c>
      <c r="F70" s="62">
        <v>623593700000</v>
      </c>
    </row>
    <row r="71" spans="1:6" ht="15">
      <c r="A71" s="4">
        <v>1990</v>
      </c>
      <c r="B71" s="65">
        <f t="shared" si="0"/>
        <v>2682099600000</v>
      </c>
      <c r="C71" s="61">
        <v>1243051300000</v>
      </c>
      <c r="D71" s="61">
        <v>151900000</v>
      </c>
      <c r="E71" s="62">
        <v>308208600000</v>
      </c>
      <c r="F71" s="62">
        <v>1130687800000</v>
      </c>
    </row>
    <row r="72" spans="1:6" ht="15">
      <c r="A72" s="4">
        <v>1991</v>
      </c>
      <c r="B72" s="65">
        <f t="shared" si="0"/>
        <v>3411059800000</v>
      </c>
      <c r="C72" s="61">
        <v>1075169100000.0001</v>
      </c>
      <c r="D72" s="61">
        <v>167800000</v>
      </c>
      <c r="E72" s="62">
        <v>409799300000</v>
      </c>
      <c r="F72" s="62">
        <v>1925923600000</v>
      </c>
    </row>
    <row r="73" spans="1:6" ht="15">
      <c r="A73" s="4">
        <v>1992</v>
      </c>
      <c r="B73" s="65">
        <f t="shared" si="0"/>
        <v>4690307000000</v>
      </c>
      <c r="C73" s="61">
        <v>1432701000000</v>
      </c>
      <c r="D73" s="61">
        <v>164400000</v>
      </c>
      <c r="E73" s="62">
        <v>570628100000</v>
      </c>
      <c r="F73" s="62">
        <v>2686813500000</v>
      </c>
    </row>
    <row r="74" spans="1:6" ht="15">
      <c r="A74" s="4">
        <v>1993</v>
      </c>
      <c r="B74" s="65">
        <f t="shared" si="0"/>
        <v>5305425500000</v>
      </c>
      <c r="C74" s="61">
        <v>2221103000000</v>
      </c>
      <c r="D74" s="61">
        <v>184700000</v>
      </c>
      <c r="E74" s="62">
        <v>553556200000</v>
      </c>
      <c r="F74" s="62">
        <v>2530581600000</v>
      </c>
    </row>
    <row r="75" spans="1:6" ht="15">
      <c r="A75" s="4">
        <v>1994</v>
      </c>
      <c r="B75" s="65">
        <f t="shared" si="0"/>
        <v>6271108100000</v>
      </c>
      <c r="C75" s="61">
        <v>3283135800000.0005</v>
      </c>
      <c r="D75" s="61">
        <v>230808500000</v>
      </c>
      <c r="E75" s="62">
        <v>505972500000</v>
      </c>
      <c r="F75" s="62">
        <v>2251191300000</v>
      </c>
    </row>
    <row r="76" spans="1:6" ht="15">
      <c r="A76" s="4">
        <v>1995</v>
      </c>
      <c r="B76" s="65">
        <f t="shared" si="0"/>
        <v>6953402500000</v>
      </c>
      <c r="C76" s="61">
        <v>3331862900000</v>
      </c>
      <c r="D76" s="61">
        <v>140425600000</v>
      </c>
      <c r="E76" s="62">
        <v>526089700000</v>
      </c>
      <c r="F76" s="62">
        <v>2955024300000</v>
      </c>
    </row>
    <row r="77" spans="1:6" ht="15">
      <c r="A77" s="4">
        <v>1996</v>
      </c>
      <c r="B77" s="65">
        <f t="shared" si="0"/>
        <v>7732968900000</v>
      </c>
      <c r="C77" s="61">
        <v>3795030600000</v>
      </c>
      <c r="D77" s="61">
        <v>23468400000</v>
      </c>
      <c r="E77" s="62">
        <v>506375200000</v>
      </c>
      <c r="F77" s="62">
        <v>3408094700000</v>
      </c>
    </row>
    <row r="78" spans="1:6" ht="15">
      <c r="A78" s="4">
        <v>1997</v>
      </c>
      <c r="B78" s="65">
        <f t="shared" si="0"/>
        <v>8911772200000</v>
      </c>
      <c r="C78" s="61">
        <v>252085000000</v>
      </c>
      <c r="D78" s="61">
        <v>4813700000</v>
      </c>
      <c r="E78" s="62">
        <v>623003300000</v>
      </c>
      <c r="F78" s="62">
        <v>8031870200000</v>
      </c>
    </row>
    <row r="79" spans="1:6" ht="15">
      <c r="A79" s="4">
        <v>1998</v>
      </c>
      <c r="B79" s="65">
        <f t="shared" si="0"/>
        <v>8041417200000</v>
      </c>
      <c r="C79" s="61">
        <v>152499700000</v>
      </c>
      <c r="D79" s="61">
        <v>20036000000</v>
      </c>
      <c r="E79" s="62">
        <v>755053700000</v>
      </c>
      <c r="F79" s="62">
        <v>7113827800000</v>
      </c>
    </row>
    <row r="80" spans="1:6" ht="15">
      <c r="A80" s="4">
        <v>1999</v>
      </c>
      <c r="B80" s="65">
        <f t="shared" si="0"/>
        <v>8476523800000</v>
      </c>
      <c r="C80" s="61">
        <v>167232900000</v>
      </c>
      <c r="D80" s="61">
        <v>24525800000</v>
      </c>
      <c r="E80" s="62">
        <v>923722600000</v>
      </c>
      <c r="F80" s="62">
        <v>7361042500000</v>
      </c>
    </row>
    <row r="81" spans="1:6" ht="15">
      <c r="A81" s="4">
        <v>2000</v>
      </c>
      <c r="B81" s="65">
        <f t="shared" si="0"/>
        <v>9216936600000</v>
      </c>
      <c r="C81" s="61">
        <v>10233500000</v>
      </c>
      <c r="D81" s="61">
        <v>20274000000</v>
      </c>
      <c r="E81" s="62">
        <v>957174100000</v>
      </c>
      <c r="F81" s="62">
        <v>8229255000000</v>
      </c>
    </row>
    <row r="82" spans="1:6" ht="15">
      <c r="A82" s="4">
        <v>2001</v>
      </c>
      <c r="B82" s="65">
        <f t="shared" si="0"/>
        <v>10140767500000</v>
      </c>
      <c r="C82" s="61">
        <v>12195300000</v>
      </c>
      <c r="D82" s="61">
        <v>89098500000</v>
      </c>
      <c r="E82" s="62">
        <v>1000439500000</v>
      </c>
      <c r="F82" s="62">
        <v>9039034200000</v>
      </c>
    </row>
    <row r="83" spans="1:6" ht="15">
      <c r="A83" s="4">
        <v>2002</v>
      </c>
      <c r="B83" s="65">
        <f t="shared" si="0"/>
        <v>10935836600000</v>
      </c>
      <c r="C83" s="61">
        <v>1619500000</v>
      </c>
      <c r="D83" s="61">
        <v>0</v>
      </c>
      <c r="E83" s="62">
        <v>381114400000</v>
      </c>
      <c r="F83" s="62">
        <v>10553102700000</v>
      </c>
    </row>
    <row r="84" spans="1:6" ht="15">
      <c r="A84" s="4">
        <v>2003</v>
      </c>
      <c r="B84" s="65">
        <f t="shared" si="0"/>
        <v>9501545500000</v>
      </c>
      <c r="C84" s="61">
        <v>1636400000</v>
      </c>
      <c r="D84" s="61">
        <v>0</v>
      </c>
      <c r="E84" s="62">
        <v>382142900000</v>
      </c>
      <c r="F84" s="62">
        <v>9117766200000</v>
      </c>
    </row>
    <row r="85" spans="1:6" ht="15">
      <c r="A85" s="4">
        <v>2004</v>
      </c>
      <c r="B85" s="65">
        <f t="shared" si="0"/>
        <v>8966255100000</v>
      </c>
      <c r="C85" s="61">
        <v>1683200000</v>
      </c>
      <c r="D85" s="61">
        <v>0</v>
      </c>
      <c r="E85" s="62">
        <v>289799800000</v>
      </c>
      <c r="F85" s="62">
        <v>8674772100000</v>
      </c>
    </row>
    <row r="86" spans="1:6" ht="15">
      <c r="A86" s="4">
        <v>2005</v>
      </c>
      <c r="B86" s="65">
        <f t="shared" si="0"/>
        <v>8722739300000</v>
      </c>
      <c r="C86" s="61">
        <v>1714300000</v>
      </c>
      <c r="D86" s="61">
        <v>0</v>
      </c>
      <c r="E86" s="62">
        <v>139354100000</v>
      </c>
      <c r="F86" s="62">
        <v>8581670900000</v>
      </c>
    </row>
    <row r="87" spans="1:6" ht="15">
      <c r="A87" s="4">
        <v>2006</v>
      </c>
      <c r="B87" s="65">
        <f t="shared" si="0"/>
        <v>10383410900000</v>
      </c>
      <c r="C87" s="61">
        <v>2308500000</v>
      </c>
      <c r="D87" s="61">
        <v>0</v>
      </c>
      <c r="E87" s="62">
        <v>106724100000</v>
      </c>
      <c r="F87" s="62">
        <v>10274378300000</v>
      </c>
    </row>
    <row r="88" spans="1:6" ht="15">
      <c r="A88" s="4">
        <v>2007</v>
      </c>
      <c r="B88" s="65">
        <f t="shared" si="0"/>
        <v>8384368100000</v>
      </c>
      <c r="C88" s="61">
        <v>2688200000</v>
      </c>
      <c r="D88" s="61">
        <v>0</v>
      </c>
      <c r="E88" s="62">
        <v>103840100000</v>
      </c>
      <c r="F88" s="62">
        <v>8277839800000</v>
      </c>
    </row>
    <row r="89" spans="1:6" ht="15">
      <c r="A89" s="4">
        <v>2008</v>
      </c>
      <c r="B89" s="65">
        <f t="shared" si="0"/>
        <v>14571665200000</v>
      </c>
      <c r="C89" s="61">
        <v>3595100000</v>
      </c>
      <c r="D89" s="61">
        <v>0</v>
      </c>
      <c r="E89" s="62">
        <v>193809200000</v>
      </c>
      <c r="F89" s="62">
        <v>14374260900000</v>
      </c>
    </row>
    <row r="90" spans="1:6" ht="15">
      <c r="A90" s="4">
        <v>2009</v>
      </c>
      <c r="B90" s="65">
        <f t="shared" si="0"/>
        <v>12849409600000</v>
      </c>
      <c r="C90" s="61">
        <v>14103400000</v>
      </c>
      <c r="D90" s="61">
        <v>194300000</v>
      </c>
      <c r="E90" s="62">
        <v>766958300000</v>
      </c>
      <c r="F90" s="62">
        <v>12068153600000</v>
      </c>
    </row>
    <row r="91" spans="1:6" ht="15">
      <c r="A91" s="4">
        <v>2010</v>
      </c>
      <c r="B91" s="65">
        <f t="shared" si="0"/>
        <v>13050537000000</v>
      </c>
      <c r="C91" s="61">
        <v>31750600000</v>
      </c>
      <c r="D91" s="61">
        <v>457700000</v>
      </c>
      <c r="E91" s="62">
        <v>718818500000</v>
      </c>
      <c r="F91" s="62">
        <v>12299510200000</v>
      </c>
    </row>
    <row r="92" spans="1:6" ht="15">
      <c r="A92" s="4">
        <v>2011</v>
      </c>
      <c r="B92" s="65">
        <f t="shared" si="0"/>
        <v>21890542200000</v>
      </c>
      <c r="C92" s="61">
        <v>413231000000</v>
      </c>
      <c r="D92" s="61">
        <v>548800000</v>
      </c>
      <c r="E92" s="62">
        <v>964983200000</v>
      </c>
      <c r="F92" s="62">
        <v>20511779200000</v>
      </c>
    </row>
    <row r="93" spans="1:6" ht="15">
      <c r="A93" s="4">
        <v>2012</v>
      </c>
      <c r="B93" s="65">
        <f t="shared" si="0"/>
        <v>19933433500000</v>
      </c>
      <c r="C93" s="61">
        <v>16243900000</v>
      </c>
      <c r="D93" s="61">
        <v>285400000</v>
      </c>
      <c r="E93" s="62">
        <v>949754600000</v>
      </c>
      <c r="F93" s="62">
        <v>18967149600000</v>
      </c>
    </row>
    <row r="94" spans="1:6" ht="15">
      <c r="A94" s="4">
        <v>2013</v>
      </c>
      <c r="B94" s="65">
        <f t="shared" si="0"/>
        <v>21523220500000</v>
      </c>
      <c r="C94" s="61">
        <v>15061900000</v>
      </c>
      <c r="D94" s="61">
        <v>434400000</v>
      </c>
      <c r="E94" s="62">
        <v>1005780800000</v>
      </c>
      <c r="F94" s="62">
        <v>20501943400000</v>
      </c>
    </row>
    <row r="95" spans="1:6" ht="15">
      <c r="A95" s="4">
        <v>2014</v>
      </c>
      <c r="B95" s="65">
        <f t="shared" si="0"/>
        <v>24566660200000</v>
      </c>
      <c r="C95" s="61">
        <v>108540000000</v>
      </c>
      <c r="D95" s="61">
        <v>786200000</v>
      </c>
      <c r="E95" s="62">
        <v>1025401300000</v>
      </c>
      <c r="F95" s="62">
        <v>23431932700000</v>
      </c>
    </row>
    <row r="96" spans="1:6" ht="15">
      <c r="A96" s="4">
        <v>2015</v>
      </c>
      <c r="B96" s="65">
        <f t="shared" si="0"/>
        <v>27333427478592</v>
      </c>
      <c r="C96" s="61">
        <v>433690824152</v>
      </c>
      <c r="D96" s="61">
        <v>565470931</v>
      </c>
      <c r="E96" s="62">
        <v>1033252078783</v>
      </c>
      <c r="F96" s="62">
        <v>25865919104726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F93"/>
  <sheetViews>
    <sheetView showGridLines="0" zoomScale="70" zoomScaleNormal="70" zoomScalePageLayoutView="0" workbookViewId="0" topLeftCell="A1">
      <pane xSplit="1" ySplit="3" topLeftCell="X31" activePane="bottomRight" state="frozen"/>
      <selection pane="topLeft" activeCell="I105" sqref="I105"/>
      <selection pane="topRight" activeCell="I105" sqref="I105"/>
      <selection pane="bottomLeft" activeCell="I105" sqref="I105"/>
      <selection pane="bottomRight" activeCell="B4" sqref="B4:B73"/>
    </sheetView>
  </sheetViews>
  <sheetFormatPr defaultColWidth="11.421875" defaultRowHeight="15"/>
  <cols>
    <col min="1" max="1" width="9.28125" style="4" customWidth="1"/>
    <col min="2" max="2" width="24.421875" style="3" customWidth="1"/>
    <col min="3" max="3" width="23.00390625" style="3" customWidth="1"/>
    <col min="4" max="4" width="27.421875" style="3" customWidth="1"/>
    <col min="5" max="5" width="23.140625" style="3" customWidth="1"/>
    <col min="6" max="6" width="22.00390625" style="3" bestFit="1" customWidth="1"/>
    <col min="7" max="7" width="21.421875" style="40" customWidth="1"/>
    <col min="8" max="8" width="10.140625" style="46" bestFit="1" customWidth="1"/>
    <col min="9" max="14" width="21.421875" style="40" customWidth="1"/>
    <col min="15" max="15" width="21.140625" style="40" customWidth="1"/>
    <col min="16" max="18" width="21.140625" style="40" hidden="1" customWidth="1"/>
    <col min="19" max="19" width="23.28125" style="40" customWidth="1"/>
    <col min="20" max="20" width="23.421875" style="40" hidden="1" customWidth="1"/>
    <col min="21" max="21" width="23.421875" style="40" bestFit="1" customWidth="1"/>
    <col min="22" max="22" width="22.421875" style="4" bestFit="1" customWidth="1"/>
    <col min="23" max="23" width="15.7109375" style="5" bestFit="1" customWidth="1"/>
    <col min="24" max="16384" width="11.421875" style="5" customWidth="1"/>
  </cols>
  <sheetData>
    <row r="1" ht="15"/>
    <row r="2" spans="1:32" ht="60" customHeight="1">
      <c r="A2" s="6" t="s">
        <v>0</v>
      </c>
      <c r="B2" s="7"/>
      <c r="C2" s="7"/>
      <c r="D2" s="7"/>
      <c r="E2" s="7"/>
      <c r="F2" s="7"/>
      <c r="G2" s="35"/>
      <c r="H2" s="35"/>
      <c r="I2" s="35"/>
      <c r="J2" s="35"/>
      <c r="K2" s="35"/>
      <c r="L2" s="35"/>
      <c r="M2" s="35"/>
      <c r="N2" s="36"/>
      <c r="O2" s="36"/>
      <c r="P2" s="35"/>
      <c r="Q2" s="35"/>
      <c r="R2" s="35"/>
      <c r="S2" s="35"/>
      <c r="T2" s="35"/>
      <c r="U2" s="35"/>
      <c r="V2" s="7"/>
      <c r="W2" s="66" t="s">
        <v>14</v>
      </c>
      <c r="X2" s="67"/>
      <c r="Y2" s="67"/>
      <c r="Z2" s="67"/>
      <c r="AA2" s="68"/>
      <c r="AB2" s="66" t="s">
        <v>25</v>
      </c>
      <c r="AC2" s="67"/>
      <c r="AD2" s="67"/>
      <c r="AE2" s="67"/>
      <c r="AF2" s="68"/>
    </row>
    <row r="3" spans="1:32" ht="102" customHeight="1">
      <c r="A3" s="31" t="s">
        <v>1</v>
      </c>
      <c r="B3" s="32" t="s">
        <v>13</v>
      </c>
      <c r="C3" s="32" t="s">
        <v>17</v>
      </c>
      <c r="D3" s="32" t="s">
        <v>18</v>
      </c>
      <c r="E3" s="32" t="s">
        <v>37</v>
      </c>
      <c r="F3" s="32" t="s">
        <v>38</v>
      </c>
      <c r="G3" s="37" t="s">
        <v>19</v>
      </c>
      <c r="H3" s="48" t="s">
        <v>44</v>
      </c>
      <c r="I3" s="43" t="s">
        <v>19</v>
      </c>
      <c r="J3" s="43" t="s">
        <v>42</v>
      </c>
      <c r="K3" s="43" t="s">
        <v>41</v>
      </c>
      <c r="L3" s="43" t="s">
        <v>43</v>
      </c>
      <c r="M3" s="43" t="s">
        <v>40</v>
      </c>
      <c r="N3" s="37" t="s">
        <v>21</v>
      </c>
      <c r="O3" s="37" t="s">
        <v>36</v>
      </c>
      <c r="P3" s="43" t="s">
        <v>22</v>
      </c>
      <c r="Q3" s="43" t="s">
        <v>23</v>
      </c>
      <c r="R3" s="43" t="s">
        <v>24</v>
      </c>
      <c r="S3" s="37" t="s">
        <v>20</v>
      </c>
      <c r="T3" s="43" t="s">
        <v>41</v>
      </c>
      <c r="U3" s="43" t="s">
        <v>39</v>
      </c>
      <c r="V3" s="1"/>
      <c r="W3" s="12" t="str">
        <f>+G3</f>
        <v>Oro y Divisas</v>
      </c>
      <c r="X3" s="12" t="str">
        <f>+N3</f>
        <v>Otros valores</v>
      </c>
      <c r="Y3" s="12" t="str">
        <f>+O3</f>
        <v>Derechos con Org. Internacionales</v>
      </c>
      <c r="Z3" s="12" t="str">
        <f>+S3</f>
        <v>Bonos, certificados de depósito y otros</v>
      </c>
      <c r="AA3" s="15" t="s">
        <v>15</v>
      </c>
      <c r="AB3" s="12" t="str">
        <f>+G3</f>
        <v>Oro y Divisas</v>
      </c>
      <c r="AC3" s="15" t="str">
        <f>+N3</f>
        <v>Otros valores</v>
      </c>
      <c r="AD3" s="15" t="str">
        <f>+O3</f>
        <v>Derechos con Org. Internacionales</v>
      </c>
      <c r="AE3" s="15" t="str">
        <f>+S3</f>
        <v>Bonos, certificados de depósito y otros</v>
      </c>
      <c r="AF3" s="15" t="s">
        <v>15</v>
      </c>
    </row>
    <row r="4" spans="1:32" ht="15">
      <c r="A4" s="4">
        <v>1926</v>
      </c>
      <c r="B4" s="3">
        <v>14032.406480052094</v>
      </c>
      <c r="C4" s="3">
        <v>608.07945129</v>
      </c>
      <c r="D4" s="3">
        <f aca="true" t="shared" si="0" ref="D4:D67">SUM(N4:O4,S4)+G4</f>
        <v>472.74680244</v>
      </c>
      <c r="G4" s="40">
        <f aca="true" t="shared" si="1" ref="G4:G65">+J4+K4+M4+L4+I4</f>
        <v>472.74680244</v>
      </c>
      <c r="H4" s="42"/>
      <c r="I4" s="36">
        <v>472.74680244</v>
      </c>
      <c r="J4" s="36"/>
      <c r="K4" s="36"/>
      <c r="L4" s="36"/>
      <c r="M4" s="36"/>
      <c r="N4" s="36">
        <v>0</v>
      </c>
      <c r="O4" s="36">
        <f>+P4+Q4+R4</f>
        <v>0</v>
      </c>
      <c r="P4" s="36">
        <v>0</v>
      </c>
      <c r="Q4" s="38">
        <v>0</v>
      </c>
      <c r="R4" s="38">
        <v>0</v>
      </c>
      <c r="S4" s="38">
        <v>0</v>
      </c>
      <c r="T4" s="38"/>
      <c r="U4" s="38"/>
      <c r="V4" s="34"/>
      <c r="W4" s="44"/>
      <c r="AA4" s="45"/>
      <c r="AB4" s="26">
        <f aca="true" t="shared" si="2" ref="AB4:AB67">+G4/$C4</f>
        <v>0.7774424895251751</v>
      </c>
      <c r="AC4" s="14">
        <f aca="true" t="shared" si="3" ref="AC4:AC35">+N4/$C4</f>
        <v>0</v>
      </c>
      <c r="AD4" s="14">
        <f aca="true" t="shared" si="4" ref="AD4:AD35">+O4/$C4</f>
        <v>0</v>
      </c>
      <c r="AE4" s="14">
        <f aca="true" t="shared" si="5" ref="AE4:AE35">+S4/$C4</f>
        <v>0</v>
      </c>
      <c r="AF4" s="27">
        <f aca="true" t="shared" si="6" ref="AF4:AF35">+D4/$C4</f>
        <v>0.7774424895251751</v>
      </c>
    </row>
    <row r="5" spans="1:32" ht="15">
      <c r="A5" s="4">
        <v>1927</v>
      </c>
      <c r="B5" s="3">
        <v>13777.876944631505</v>
      </c>
      <c r="C5" s="3">
        <v>528.75836149</v>
      </c>
      <c r="D5" s="3">
        <f t="shared" si="0"/>
        <v>458.12721501</v>
      </c>
      <c r="G5" s="40">
        <f t="shared" si="1"/>
        <v>458.12721501</v>
      </c>
      <c r="I5" s="39">
        <v>458.12721501</v>
      </c>
      <c r="J5" s="39"/>
      <c r="K5" s="39"/>
      <c r="L5" s="39"/>
      <c r="M5" s="39"/>
      <c r="N5" s="39">
        <v>0</v>
      </c>
      <c r="O5" s="36">
        <f aca="true" t="shared" si="7" ref="O5:O68">+P5+Q5+R5</f>
        <v>0</v>
      </c>
      <c r="P5" s="39">
        <v>0</v>
      </c>
      <c r="Q5" s="38">
        <v>0</v>
      </c>
      <c r="R5" s="38">
        <v>0</v>
      </c>
      <c r="S5" s="38">
        <v>0</v>
      </c>
      <c r="T5" s="38"/>
      <c r="U5" s="38"/>
      <c r="V5" s="34"/>
      <c r="W5" s="44"/>
      <c r="AA5" s="45"/>
      <c r="AB5" s="26">
        <f t="shared" si="2"/>
        <v>0.8664207478800583</v>
      </c>
      <c r="AC5" s="14">
        <f t="shared" si="3"/>
        <v>0</v>
      </c>
      <c r="AD5" s="14">
        <f t="shared" si="4"/>
        <v>0</v>
      </c>
      <c r="AE5" s="14">
        <f t="shared" si="5"/>
        <v>0</v>
      </c>
      <c r="AF5" s="27">
        <f t="shared" si="6"/>
        <v>0.8664207478800583</v>
      </c>
    </row>
    <row r="6" spans="1:32" ht="15">
      <c r="A6" s="4">
        <v>1928</v>
      </c>
      <c r="B6" s="3">
        <v>16877.26911300948</v>
      </c>
      <c r="C6" s="3">
        <v>598.00258777</v>
      </c>
      <c r="D6" s="3">
        <f t="shared" si="0"/>
        <v>505.84955316</v>
      </c>
      <c r="G6" s="40">
        <f t="shared" si="1"/>
        <v>505.84955316</v>
      </c>
      <c r="I6" s="39">
        <v>505.84955316</v>
      </c>
      <c r="J6" s="39"/>
      <c r="K6" s="39"/>
      <c r="L6" s="39"/>
      <c r="M6" s="39"/>
      <c r="N6" s="39">
        <v>0</v>
      </c>
      <c r="O6" s="36">
        <f t="shared" si="7"/>
        <v>0</v>
      </c>
      <c r="P6" s="39">
        <v>0</v>
      </c>
      <c r="Q6" s="38">
        <v>0</v>
      </c>
      <c r="R6" s="38">
        <v>0</v>
      </c>
      <c r="S6" s="38">
        <v>0</v>
      </c>
      <c r="T6" s="38"/>
      <c r="U6" s="38"/>
      <c r="V6" s="34"/>
      <c r="W6" s="44"/>
      <c r="AA6" s="45"/>
      <c r="AB6" s="26">
        <f t="shared" si="2"/>
        <v>0.8458986022892542</v>
      </c>
      <c r="AC6" s="14">
        <f t="shared" si="3"/>
        <v>0</v>
      </c>
      <c r="AD6" s="14">
        <f t="shared" si="4"/>
        <v>0</v>
      </c>
      <c r="AE6" s="14">
        <f t="shared" si="5"/>
        <v>0</v>
      </c>
      <c r="AF6" s="27">
        <f t="shared" si="6"/>
        <v>0.8458986022892542</v>
      </c>
    </row>
    <row r="7" spans="1:32" ht="15">
      <c r="A7" s="4">
        <v>1929</v>
      </c>
      <c r="B7" s="3">
        <v>17760.141724727106</v>
      </c>
      <c r="C7" s="3">
        <v>614.4838662300001</v>
      </c>
      <c r="D7" s="3">
        <f t="shared" si="0"/>
        <v>447.72319677999997</v>
      </c>
      <c r="G7" s="40">
        <f t="shared" si="1"/>
        <v>447.72319677999997</v>
      </c>
      <c r="I7" s="39">
        <v>447.72319677999997</v>
      </c>
      <c r="J7" s="39"/>
      <c r="K7" s="39"/>
      <c r="L7" s="39"/>
      <c r="M7" s="39"/>
      <c r="N7" s="39">
        <v>0</v>
      </c>
      <c r="O7" s="36">
        <f t="shared" si="7"/>
        <v>0</v>
      </c>
      <c r="P7" s="39">
        <v>0</v>
      </c>
      <c r="Q7" s="38">
        <v>0</v>
      </c>
      <c r="R7" s="38">
        <v>0</v>
      </c>
      <c r="S7" s="38">
        <v>0</v>
      </c>
      <c r="T7" s="38"/>
      <c r="U7" s="38"/>
      <c r="V7" s="34"/>
      <c r="W7" s="44"/>
      <c r="AA7" s="45"/>
      <c r="AB7" s="26">
        <f t="shared" si="2"/>
        <v>0.7286166836680104</v>
      </c>
      <c r="AC7" s="14">
        <f t="shared" si="3"/>
        <v>0</v>
      </c>
      <c r="AD7" s="14">
        <f t="shared" si="4"/>
        <v>0</v>
      </c>
      <c r="AE7" s="14">
        <f t="shared" si="5"/>
        <v>0</v>
      </c>
      <c r="AF7" s="27">
        <f t="shared" si="6"/>
        <v>0.7286166836680104</v>
      </c>
    </row>
    <row r="8" spans="1:32" ht="15">
      <c r="A8" s="4">
        <v>1930</v>
      </c>
      <c r="B8" s="3">
        <v>14916.690813840445</v>
      </c>
      <c r="C8" s="3">
        <v>559.5551518999999</v>
      </c>
      <c r="D8" s="3">
        <f t="shared" si="0"/>
        <v>340.78872376</v>
      </c>
      <c r="G8" s="40">
        <f t="shared" si="1"/>
        <v>340.78872376</v>
      </c>
      <c r="I8" s="39">
        <v>340.78872376</v>
      </c>
      <c r="J8" s="39"/>
      <c r="K8" s="39"/>
      <c r="L8" s="39"/>
      <c r="M8" s="39"/>
      <c r="N8" s="39">
        <v>0</v>
      </c>
      <c r="O8" s="36">
        <f t="shared" si="7"/>
        <v>0</v>
      </c>
      <c r="P8" s="39">
        <v>0</v>
      </c>
      <c r="Q8" s="38">
        <v>0</v>
      </c>
      <c r="R8" s="38">
        <v>0</v>
      </c>
      <c r="S8" s="38">
        <v>0</v>
      </c>
      <c r="T8" s="38"/>
      <c r="U8" s="38"/>
      <c r="V8" s="34">
        <f aca="true" t="shared" si="8" ref="V8:V71">SUM(P8:S8,N8)-D8+G8</f>
        <v>0</v>
      </c>
      <c r="W8" s="44"/>
      <c r="AA8" s="45"/>
      <c r="AB8" s="26">
        <f t="shared" si="2"/>
        <v>0.6090350926138975</v>
      </c>
      <c r="AC8" s="14">
        <f t="shared" si="3"/>
        <v>0</v>
      </c>
      <c r="AD8" s="14">
        <f t="shared" si="4"/>
        <v>0</v>
      </c>
      <c r="AE8" s="14">
        <f t="shared" si="5"/>
        <v>0</v>
      </c>
      <c r="AF8" s="27">
        <f t="shared" si="6"/>
        <v>0.6090350926138975</v>
      </c>
    </row>
    <row r="9" spans="1:32" ht="15">
      <c r="A9" s="4">
        <v>1931</v>
      </c>
      <c r="B9" s="3">
        <v>11751.671410081231</v>
      </c>
      <c r="C9" s="3">
        <v>544.79094018</v>
      </c>
      <c r="D9" s="3">
        <f t="shared" si="0"/>
        <v>194.54880809</v>
      </c>
      <c r="G9" s="40">
        <f t="shared" si="1"/>
        <v>194.54880809</v>
      </c>
      <c r="I9" s="39">
        <v>194.54880809</v>
      </c>
      <c r="J9" s="39"/>
      <c r="K9" s="39"/>
      <c r="L9" s="39"/>
      <c r="M9" s="39"/>
      <c r="N9" s="39">
        <v>0</v>
      </c>
      <c r="O9" s="36">
        <f t="shared" si="7"/>
        <v>0</v>
      </c>
      <c r="P9" s="39">
        <v>0</v>
      </c>
      <c r="Q9" s="38">
        <v>0</v>
      </c>
      <c r="R9" s="38">
        <v>0</v>
      </c>
      <c r="S9" s="38">
        <v>0</v>
      </c>
      <c r="T9" s="38"/>
      <c r="U9" s="38"/>
      <c r="V9" s="34">
        <f t="shared" si="8"/>
        <v>0</v>
      </c>
      <c r="W9" s="44"/>
      <c r="AA9" s="45"/>
      <c r="AB9" s="26">
        <f t="shared" si="2"/>
        <v>0.3571072749956537</v>
      </c>
      <c r="AC9" s="14">
        <f t="shared" si="3"/>
        <v>0</v>
      </c>
      <c r="AD9" s="14">
        <f t="shared" si="4"/>
        <v>0</v>
      </c>
      <c r="AE9" s="14">
        <f t="shared" si="5"/>
        <v>0</v>
      </c>
      <c r="AF9" s="27">
        <f t="shared" si="6"/>
        <v>0.3571072749956537</v>
      </c>
    </row>
    <row r="10" spans="1:32" ht="15">
      <c r="A10" s="4">
        <v>1932</v>
      </c>
      <c r="B10" s="3">
        <v>9929.748303482209</v>
      </c>
      <c r="C10" s="3">
        <v>963.2878712199999</v>
      </c>
      <c r="D10" s="3">
        <f t="shared" si="0"/>
        <v>153.58202369</v>
      </c>
      <c r="G10" s="40">
        <f t="shared" si="1"/>
        <v>153.58202369</v>
      </c>
      <c r="I10" s="39">
        <v>153.58202369</v>
      </c>
      <c r="J10" s="39"/>
      <c r="K10" s="39"/>
      <c r="L10" s="39"/>
      <c r="M10" s="39"/>
      <c r="N10" s="39">
        <v>0</v>
      </c>
      <c r="O10" s="36">
        <f t="shared" si="7"/>
        <v>0</v>
      </c>
      <c r="P10" s="39">
        <v>0</v>
      </c>
      <c r="Q10" s="38">
        <v>0</v>
      </c>
      <c r="R10" s="38">
        <v>0</v>
      </c>
      <c r="S10" s="38">
        <v>0</v>
      </c>
      <c r="T10" s="38"/>
      <c r="U10" s="38"/>
      <c r="V10" s="34">
        <f t="shared" si="8"/>
        <v>0</v>
      </c>
      <c r="W10" s="44"/>
      <c r="AA10" s="45"/>
      <c r="AB10" s="26">
        <f t="shared" si="2"/>
        <v>0.15943523040053337</v>
      </c>
      <c r="AC10" s="14">
        <f t="shared" si="3"/>
        <v>0</v>
      </c>
      <c r="AD10" s="14">
        <f t="shared" si="4"/>
        <v>0</v>
      </c>
      <c r="AE10" s="14">
        <f t="shared" si="5"/>
        <v>0</v>
      </c>
      <c r="AF10" s="27">
        <f t="shared" si="6"/>
        <v>0.15943523040053337</v>
      </c>
    </row>
    <row r="11" spans="1:32" ht="15">
      <c r="A11" s="4">
        <v>1933</v>
      </c>
      <c r="B11" s="3">
        <v>12235.913477373539</v>
      </c>
      <c r="C11" s="3">
        <v>1005.47377742</v>
      </c>
      <c r="D11" s="3">
        <f t="shared" si="0"/>
        <v>167.02528556000001</v>
      </c>
      <c r="G11" s="40">
        <f t="shared" si="1"/>
        <v>167.02528556000001</v>
      </c>
      <c r="I11" s="39">
        <v>167.02528556000001</v>
      </c>
      <c r="J11" s="39"/>
      <c r="K11" s="39"/>
      <c r="L11" s="39"/>
      <c r="M11" s="39"/>
      <c r="N11" s="39">
        <v>0</v>
      </c>
      <c r="O11" s="36">
        <f t="shared" si="7"/>
        <v>0</v>
      </c>
      <c r="P11" s="39">
        <v>0</v>
      </c>
      <c r="Q11" s="38">
        <v>0</v>
      </c>
      <c r="R11" s="38">
        <v>0</v>
      </c>
      <c r="S11" s="38">
        <v>0</v>
      </c>
      <c r="T11" s="38"/>
      <c r="U11" s="38"/>
      <c r="V11" s="34">
        <f t="shared" si="8"/>
        <v>0</v>
      </c>
      <c r="W11" s="44"/>
      <c r="AA11" s="45"/>
      <c r="AB11" s="26">
        <f t="shared" si="2"/>
        <v>0.16611600353077263</v>
      </c>
      <c r="AC11" s="14">
        <f t="shared" si="3"/>
        <v>0</v>
      </c>
      <c r="AD11" s="14">
        <f t="shared" si="4"/>
        <v>0</v>
      </c>
      <c r="AE11" s="14">
        <f t="shared" si="5"/>
        <v>0</v>
      </c>
      <c r="AF11" s="27">
        <f t="shared" si="6"/>
        <v>0.16611600353077263</v>
      </c>
    </row>
    <row r="12" spans="1:32" ht="15">
      <c r="A12" s="4">
        <v>1934</v>
      </c>
      <c r="B12" s="3">
        <v>14771.567930700841</v>
      </c>
      <c r="C12" s="3">
        <v>992.8307957</v>
      </c>
      <c r="D12" s="3">
        <f t="shared" si="0"/>
        <v>141.81653061</v>
      </c>
      <c r="G12" s="40">
        <f t="shared" si="1"/>
        <v>141.81653061</v>
      </c>
      <c r="I12" s="39">
        <v>141.81653061</v>
      </c>
      <c r="J12" s="39"/>
      <c r="K12" s="39"/>
      <c r="L12" s="39"/>
      <c r="M12" s="39"/>
      <c r="N12" s="39">
        <v>0</v>
      </c>
      <c r="O12" s="36">
        <f t="shared" si="7"/>
        <v>0</v>
      </c>
      <c r="P12" s="39">
        <v>0</v>
      </c>
      <c r="Q12" s="38">
        <v>0</v>
      </c>
      <c r="R12" s="38">
        <v>0</v>
      </c>
      <c r="S12" s="38">
        <v>0</v>
      </c>
      <c r="T12" s="38"/>
      <c r="U12" s="38"/>
      <c r="V12" s="34">
        <f t="shared" si="8"/>
        <v>0</v>
      </c>
      <c r="W12" s="44"/>
      <c r="AA12" s="45"/>
      <c r="AB12" s="26">
        <f t="shared" si="2"/>
        <v>0.14284058393858703</v>
      </c>
      <c r="AC12" s="14">
        <f t="shared" si="3"/>
        <v>0</v>
      </c>
      <c r="AD12" s="14">
        <f t="shared" si="4"/>
        <v>0</v>
      </c>
      <c r="AE12" s="14">
        <f t="shared" si="5"/>
        <v>0</v>
      </c>
      <c r="AF12" s="27">
        <f t="shared" si="6"/>
        <v>0.14284058393858703</v>
      </c>
    </row>
    <row r="13" spans="1:32" ht="15">
      <c r="A13" s="4">
        <v>1935</v>
      </c>
      <c r="B13" s="3">
        <v>15621.585908722845</v>
      </c>
      <c r="C13" s="3">
        <v>989.7720218000001</v>
      </c>
      <c r="D13" s="3">
        <f t="shared" si="0"/>
        <v>142.44164358</v>
      </c>
      <c r="G13" s="40">
        <f t="shared" si="1"/>
        <v>142.44164358</v>
      </c>
      <c r="I13" s="39">
        <v>142.44164358</v>
      </c>
      <c r="J13" s="39"/>
      <c r="K13" s="39"/>
      <c r="L13" s="39"/>
      <c r="M13" s="39"/>
      <c r="N13" s="39">
        <v>0</v>
      </c>
      <c r="O13" s="36">
        <f t="shared" si="7"/>
        <v>0</v>
      </c>
      <c r="P13" s="39">
        <v>0</v>
      </c>
      <c r="Q13" s="38">
        <v>0</v>
      </c>
      <c r="R13" s="38">
        <v>0</v>
      </c>
      <c r="S13" s="38">
        <v>0</v>
      </c>
      <c r="T13" s="38"/>
      <c r="U13" s="38"/>
      <c r="V13" s="34">
        <f t="shared" si="8"/>
        <v>0</v>
      </c>
      <c r="W13" s="44"/>
      <c r="AA13" s="45"/>
      <c r="AB13" s="26">
        <f t="shared" si="2"/>
        <v>0.1439135886271624</v>
      </c>
      <c r="AC13" s="14">
        <f t="shared" si="3"/>
        <v>0</v>
      </c>
      <c r="AD13" s="14">
        <f t="shared" si="4"/>
        <v>0</v>
      </c>
      <c r="AE13" s="14">
        <f t="shared" si="5"/>
        <v>0</v>
      </c>
      <c r="AF13" s="27">
        <f t="shared" si="6"/>
        <v>0.1439135886271624</v>
      </c>
    </row>
    <row r="14" spans="1:32" ht="15">
      <c r="A14" s="4">
        <v>1936</v>
      </c>
      <c r="B14" s="3">
        <v>16389.436924744557</v>
      </c>
      <c r="C14" s="3">
        <v>1074.2333139000002</v>
      </c>
      <c r="D14" s="3">
        <f t="shared" si="0"/>
        <v>143.17591216</v>
      </c>
      <c r="G14" s="40">
        <f t="shared" si="1"/>
        <v>143.17591216</v>
      </c>
      <c r="I14" s="39">
        <v>143.17591216</v>
      </c>
      <c r="J14" s="39"/>
      <c r="K14" s="39"/>
      <c r="L14" s="39"/>
      <c r="M14" s="39"/>
      <c r="N14" s="39">
        <v>0</v>
      </c>
      <c r="O14" s="36">
        <f t="shared" si="7"/>
        <v>0</v>
      </c>
      <c r="P14" s="39">
        <v>0</v>
      </c>
      <c r="Q14" s="38">
        <v>0</v>
      </c>
      <c r="R14" s="38">
        <v>0</v>
      </c>
      <c r="S14" s="38">
        <v>0</v>
      </c>
      <c r="T14" s="38"/>
      <c r="U14" s="38"/>
      <c r="V14" s="34">
        <f t="shared" si="8"/>
        <v>0</v>
      </c>
      <c r="W14" s="44"/>
      <c r="AA14" s="45"/>
      <c r="AB14" s="26">
        <f t="shared" si="2"/>
        <v>0.13328195123664557</v>
      </c>
      <c r="AC14" s="14">
        <f t="shared" si="3"/>
        <v>0</v>
      </c>
      <c r="AD14" s="14">
        <f t="shared" si="4"/>
        <v>0</v>
      </c>
      <c r="AE14" s="14">
        <f t="shared" si="5"/>
        <v>0</v>
      </c>
      <c r="AF14" s="27">
        <f t="shared" si="6"/>
        <v>0.13328195123664557</v>
      </c>
    </row>
    <row r="15" spans="1:32" ht="15">
      <c r="A15" s="4">
        <v>1937</v>
      </c>
      <c r="B15" s="3">
        <v>18635.0722395352</v>
      </c>
      <c r="C15" s="3">
        <v>1118.61472516</v>
      </c>
      <c r="D15" s="3">
        <f t="shared" si="0"/>
        <v>144.19598116</v>
      </c>
      <c r="G15" s="40">
        <f t="shared" si="1"/>
        <v>144.19598116</v>
      </c>
      <c r="I15" s="39">
        <v>144.19598116</v>
      </c>
      <c r="J15" s="39"/>
      <c r="K15" s="39"/>
      <c r="L15" s="39"/>
      <c r="M15" s="39"/>
      <c r="N15" s="39">
        <v>0</v>
      </c>
      <c r="O15" s="36">
        <f t="shared" si="7"/>
        <v>0</v>
      </c>
      <c r="P15" s="39">
        <v>0</v>
      </c>
      <c r="Q15" s="38">
        <v>0</v>
      </c>
      <c r="R15" s="38">
        <v>0</v>
      </c>
      <c r="S15" s="38">
        <v>0</v>
      </c>
      <c r="T15" s="38"/>
      <c r="U15" s="38"/>
      <c r="V15" s="34">
        <f t="shared" si="8"/>
        <v>0</v>
      </c>
      <c r="W15" s="44"/>
      <c r="AA15" s="45"/>
      <c r="AB15" s="26">
        <f t="shared" si="2"/>
        <v>0.1289058492765461</v>
      </c>
      <c r="AC15" s="14">
        <f t="shared" si="3"/>
        <v>0</v>
      </c>
      <c r="AD15" s="14">
        <f t="shared" si="4"/>
        <v>0</v>
      </c>
      <c r="AE15" s="14">
        <f t="shared" si="5"/>
        <v>0</v>
      </c>
      <c r="AF15" s="27">
        <f t="shared" si="6"/>
        <v>0.1289058492765461</v>
      </c>
    </row>
    <row r="16" spans="1:32" ht="15">
      <c r="A16" s="4">
        <v>1938</v>
      </c>
      <c r="B16" s="3">
        <v>18849.511327299344</v>
      </c>
      <c r="C16" s="3">
        <v>1220.0788788199998</v>
      </c>
      <c r="D16" s="3">
        <f t="shared" si="0"/>
        <v>145.15532522</v>
      </c>
      <c r="G16" s="40">
        <f t="shared" si="1"/>
        <v>145.15532522</v>
      </c>
      <c r="I16" s="39">
        <v>145.15532522</v>
      </c>
      <c r="J16" s="39"/>
      <c r="K16" s="39"/>
      <c r="L16" s="39"/>
      <c r="M16" s="39"/>
      <c r="N16" s="39">
        <v>0</v>
      </c>
      <c r="O16" s="36">
        <f t="shared" si="7"/>
        <v>0</v>
      </c>
      <c r="P16" s="39">
        <v>0</v>
      </c>
      <c r="Q16" s="38">
        <v>0</v>
      </c>
      <c r="R16" s="38">
        <v>0</v>
      </c>
      <c r="S16" s="38">
        <v>0</v>
      </c>
      <c r="T16" s="38"/>
      <c r="U16" s="38"/>
      <c r="V16" s="34">
        <f t="shared" si="8"/>
        <v>0</v>
      </c>
      <c r="W16" s="44"/>
      <c r="AA16" s="45"/>
      <c r="AB16" s="26">
        <f t="shared" si="2"/>
        <v>0.11897208265779266</v>
      </c>
      <c r="AC16" s="14">
        <f t="shared" si="3"/>
        <v>0</v>
      </c>
      <c r="AD16" s="14">
        <f t="shared" si="4"/>
        <v>0</v>
      </c>
      <c r="AE16" s="14">
        <f t="shared" si="5"/>
        <v>0</v>
      </c>
      <c r="AF16" s="27">
        <f t="shared" si="6"/>
        <v>0.11897208265779266</v>
      </c>
    </row>
    <row r="17" spans="1:32" ht="15">
      <c r="A17" s="4">
        <v>1939</v>
      </c>
      <c r="B17" s="3">
        <v>19245.178171530846</v>
      </c>
      <c r="C17" s="3">
        <v>1352.35153033</v>
      </c>
      <c r="D17" s="3">
        <f t="shared" si="0"/>
        <v>145.95836799</v>
      </c>
      <c r="G17" s="40">
        <f t="shared" si="1"/>
        <v>145.95836799</v>
      </c>
      <c r="I17" s="39">
        <v>145.95836799</v>
      </c>
      <c r="J17" s="39"/>
      <c r="K17" s="39"/>
      <c r="L17" s="39"/>
      <c r="M17" s="39"/>
      <c r="N17" s="39">
        <v>0</v>
      </c>
      <c r="O17" s="36">
        <f t="shared" si="7"/>
        <v>0</v>
      </c>
      <c r="P17" s="39">
        <v>0</v>
      </c>
      <c r="Q17" s="38">
        <v>0</v>
      </c>
      <c r="R17" s="38">
        <v>0</v>
      </c>
      <c r="S17" s="38">
        <v>0</v>
      </c>
      <c r="T17" s="38"/>
      <c r="U17" s="38"/>
      <c r="V17" s="34">
        <f t="shared" si="8"/>
        <v>0</v>
      </c>
      <c r="W17" s="44"/>
      <c r="AA17" s="45"/>
      <c r="AB17" s="26">
        <f t="shared" si="2"/>
        <v>0.10792931032834585</v>
      </c>
      <c r="AC17" s="14">
        <f t="shared" si="3"/>
        <v>0</v>
      </c>
      <c r="AD17" s="14">
        <f t="shared" si="4"/>
        <v>0</v>
      </c>
      <c r="AE17" s="14">
        <f t="shared" si="5"/>
        <v>0</v>
      </c>
      <c r="AF17" s="27">
        <f t="shared" si="6"/>
        <v>0.10792931032834585</v>
      </c>
    </row>
    <row r="18" spans="1:32" ht="15">
      <c r="A18" s="4">
        <v>1940</v>
      </c>
      <c r="B18" s="3">
        <v>20016</v>
      </c>
      <c r="C18" s="3">
        <v>1587.61169234</v>
      </c>
      <c r="D18" s="3">
        <f t="shared" si="0"/>
        <v>146.92608664</v>
      </c>
      <c r="G18" s="40">
        <f t="shared" si="1"/>
        <v>146.92608664</v>
      </c>
      <c r="I18" s="39">
        <v>146.92608664</v>
      </c>
      <c r="J18" s="39"/>
      <c r="K18" s="39"/>
      <c r="L18" s="39"/>
      <c r="M18" s="39"/>
      <c r="N18" s="39">
        <v>0</v>
      </c>
      <c r="O18" s="36">
        <f t="shared" si="7"/>
        <v>0</v>
      </c>
      <c r="P18" s="39">
        <v>0</v>
      </c>
      <c r="Q18" s="38">
        <v>0</v>
      </c>
      <c r="R18" s="38">
        <v>0</v>
      </c>
      <c r="S18" s="38">
        <v>0</v>
      </c>
      <c r="T18" s="38"/>
      <c r="U18" s="38"/>
      <c r="V18" s="34">
        <f t="shared" si="8"/>
        <v>0</v>
      </c>
      <c r="W18" s="21">
        <f aca="true" t="shared" si="9" ref="W18:W81">+G18/$B18</f>
        <v>0.007340431986410871</v>
      </c>
      <c r="X18" s="13">
        <f aca="true" t="shared" si="10" ref="X18:X49">+N18/$B18</f>
        <v>0</v>
      </c>
      <c r="Y18" s="13">
        <f aca="true" t="shared" si="11" ref="Y18:Y49">+O18/$B18</f>
        <v>0</v>
      </c>
      <c r="Z18" s="13">
        <f aca="true" t="shared" si="12" ref="Z18:Z49">+S18/$B18</f>
        <v>0</v>
      </c>
      <c r="AA18" s="22">
        <f aca="true" t="shared" si="13" ref="AA18:AA49">+D18/$B18</f>
        <v>0.007340431986410871</v>
      </c>
      <c r="AB18" s="26">
        <f t="shared" si="2"/>
        <v>0.09254535435138038</v>
      </c>
      <c r="AC18" s="14">
        <f t="shared" si="3"/>
        <v>0</v>
      </c>
      <c r="AD18" s="14">
        <f t="shared" si="4"/>
        <v>0</v>
      </c>
      <c r="AE18" s="14">
        <f t="shared" si="5"/>
        <v>0</v>
      </c>
      <c r="AF18" s="27">
        <f t="shared" si="6"/>
        <v>0.09254535435138038</v>
      </c>
    </row>
    <row r="19" spans="1:32" ht="15">
      <c r="A19" s="4">
        <v>1941</v>
      </c>
      <c r="B19" s="3">
        <v>22890</v>
      </c>
      <c r="C19" s="3">
        <v>1998.6226591099999</v>
      </c>
      <c r="D19" s="3">
        <f t="shared" si="0"/>
        <v>148.00722245000003</v>
      </c>
      <c r="G19" s="40">
        <f t="shared" si="1"/>
        <v>148.00722245000003</v>
      </c>
      <c r="I19" s="39">
        <v>148.00722245000003</v>
      </c>
      <c r="J19" s="39"/>
      <c r="K19" s="39"/>
      <c r="L19" s="39"/>
      <c r="M19" s="39"/>
      <c r="N19" s="39">
        <v>0</v>
      </c>
      <c r="O19" s="36">
        <f t="shared" si="7"/>
        <v>0</v>
      </c>
      <c r="P19" s="39">
        <v>0</v>
      </c>
      <c r="Q19" s="38">
        <v>0</v>
      </c>
      <c r="R19" s="38">
        <v>0</v>
      </c>
      <c r="S19" s="38">
        <v>0</v>
      </c>
      <c r="T19" s="38"/>
      <c r="U19" s="38"/>
      <c r="V19" s="34">
        <f t="shared" si="8"/>
        <v>0</v>
      </c>
      <c r="W19" s="21">
        <f t="shared" si="9"/>
        <v>0.006466021076889473</v>
      </c>
      <c r="X19" s="13">
        <f t="shared" si="10"/>
        <v>0</v>
      </c>
      <c r="Y19" s="13">
        <f t="shared" si="11"/>
        <v>0</v>
      </c>
      <c r="Z19" s="13">
        <f t="shared" si="12"/>
        <v>0</v>
      </c>
      <c r="AA19" s="22">
        <f t="shared" si="13"/>
        <v>0.006466021076889473</v>
      </c>
      <c r="AB19" s="26">
        <f t="shared" si="2"/>
        <v>0.07405461044653053</v>
      </c>
      <c r="AC19" s="14">
        <f t="shared" si="3"/>
        <v>0</v>
      </c>
      <c r="AD19" s="14">
        <f t="shared" si="4"/>
        <v>0</v>
      </c>
      <c r="AE19" s="14">
        <f t="shared" si="5"/>
        <v>0</v>
      </c>
      <c r="AF19" s="27">
        <f t="shared" si="6"/>
        <v>0.07405461044653053</v>
      </c>
    </row>
    <row r="20" spans="1:32" ht="15">
      <c r="A20" s="4">
        <v>1942</v>
      </c>
      <c r="B20" s="3">
        <v>30010</v>
      </c>
      <c r="C20" s="3">
        <v>2696.8599817199993</v>
      </c>
      <c r="D20" s="3">
        <f t="shared" si="0"/>
        <v>272.50470281</v>
      </c>
      <c r="G20" s="40">
        <f t="shared" si="1"/>
        <v>272.50470281</v>
      </c>
      <c r="I20" s="39">
        <v>272.50470281</v>
      </c>
      <c r="J20" s="39"/>
      <c r="K20" s="39"/>
      <c r="L20" s="39"/>
      <c r="M20" s="39"/>
      <c r="N20" s="39">
        <v>0</v>
      </c>
      <c r="O20" s="36">
        <f t="shared" si="7"/>
        <v>0</v>
      </c>
      <c r="P20" s="39">
        <v>0</v>
      </c>
      <c r="Q20" s="38">
        <v>0</v>
      </c>
      <c r="R20" s="38">
        <v>0</v>
      </c>
      <c r="S20" s="38">
        <v>0</v>
      </c>
      <c r="T20" s="38"/>
      <c r="U20" s="38"/>
      <c r="V20" s="34">
        <f t="shared" si="8"/>
        <v>0</v>
      </c>
      <c r="W20" s="21">
        <f t="shared" si="9"/>
        <v>0.00908046327257581</v>
      </c>
      <c r="X20" s="13">
        <f t="shared" si="10"/>
        <v>0</v>
      </c>
      <c r="Y20" s="13">
        <f t="shared" si="11"/>
        <v>0</v>
      </c>
      <c r="Z20" s="13">
        <f t="shared" si="12"/>
        <v>0</v>
      </c>
      <c r="AA20" s="22">
        <f t="shared" si="13"/>
        <v>0.00908046327257581</v>
      </c>
      <c r="AB20" s="26">
        <f t="shared" si="2"/>
        <v>0.1010451801936719</v>
      </c>
      <c r="AC20" s="14">
        <f t="shared" si="3"/>
        <v>0</v>
      </c>
      <c r="AD20" s="14">
        <f t="shared" si="4"/>
        <v>0</v>
      </c>
      <c r="AE20" s="14">
        <f t="shared" si="5"/>
        <v>0</v>
      </c>
      <c r="AF20" s="27">
        <f t="shared" si="6"/>
        <v>0.1010451801936719</v>
      </c>
    </row>
    <row r="21" spans="1:32" ht="15">
      <c r="A21" s="4">
        <v>1943</v>
      </c>
      <c r="B21" s="3">
        <v>35760</v>
      </c>
      <c r="C21" s="3">
        <v>3324.24324665</v>
      </c>
      <c r="D21" s="3">
        <f t="shared" si="0"/>
        <v>335.90665524</v>
      </c>
      <c r="G21" s="40">
        <f t="shared" si="1"/>
        <v>335.90665524</v>
      </c>
      <c r="I21" s="39">
        <v>335.90665524</v>
      </c>
      <c r="J21" s="39"/>
      <c r="K21" s="39"/>
      <c r="L21" s="39"/>
      <c r="M21" s="39"/>
      <c r="N21" s="39">
        <v>0</v>
      </c>
      <c r="O21" s="36">
        <f t="shared" si="7"/>
        <v>0</v>
      </c>
      <c r="P21" s="39">
        <v>0</v>
      </c>
      <c r="Q21" s="38">
        <v>0</v>
      </c>
      <c r="R21" s="38">
        <v>0</v>
      </c>
      <c r="S21" s="38">
        <v>0</v>
      </c>
      <c r="T21" s="38"/>
      <c r="U21" s="38"/>
      <c r="V21" s="34">
        <f t="shared" si="8"/>
        <v>0</v>
      </c>
      <c r="W21" s="21">
        <f t="shared" si="9"/>
        <v>0.00939336284228188</v>
      </c>
      <c r="X21" s="13">
        <f t="shared" si="10"/>
        <v>0</v>
      </c>
      <c r="Y21" s="13">
        <f t="shared" si="11"/>
        <v>0</v>
      </c>
      <c r="Z21" s="13">
        <f t="shared" si="12"/>
        <v>0</v>
      </c>
      <c r="AA21" s="22">
        <f t="shared" si="13"/>
        <v>0.00939336284228188</v>
      </c>
      <c r="AB21" s="26">
        <f t="shared" si="2"/>
        <v>0.10104755588463911</v>
      </c>
      <c r="AC21" s="14">
        <f t="shared" si="3"/>
        <v>0</v>
      </c>
      <c r="AD21" s="14">
        <f t="shared" si="4"/>
        <v>0</v>
      </c>
      <c r="AE21" s="14">
        <f t="shared" si="5"/>
        <v>0</v>
      </c>
      <c r="AF21" s="27">
        <f t="shared" si="6"/>
        <v>0.10104755588463911</v>
      </c>
    </row>
    <row r="22" spans="1:32" ht="15">
      <c r="A22" s="4">
        <v>1944</v>
      </c>
      <c r="B22" s="3">
        <v>41600</v>
      </c>
      <c r="C22" s="3">
        <v>3940.2641252</v>
      </c>
      <c r="D22" s="3">
        <f t="shared" si="0"/>
        <v>397.95165390000005</v>
      </c>
      <c r="G22" s="40">
        <f t="shared" si="1"/>
        <v>397.95165390000005</v>
      </c>
      <c r="I22" s="39">
        <v>397.95165390000005</v>
      </c>
      <c r="J22" s="39"/>
      <c r="K22" s="39"/>
      <c r="L22" s="39"/>
      <c r="M22" s="39"/>
      <c r="N22" s="39">
        <v>0</v>
      </c>
      <c r="O22" s="36">
        <f t="shared" si="7"/>
        <v>0</v>
      </c>
      <c r="P22" s="39">
        <v>0</v>
      </c>
      <c r="Q22" s="38">
        <v>0</v>
      </c>
      <c r="R22" s="38">
        <v>0</v>
      </c>
      <c r="S22" s="38">
        <v>0</v>
      </c>
      <c r="T22" s="38"/>
      <c r="U22" s="38"/>
      <c r="V22" s="34">
        <f t="shared" si="8"/>
        <v>0</v>
      </c>
      <c r="W22" s="21">
        <f t="shared" si="9"/>
        <v>0.00956614552644231</v>
      </c>
      <c r="X22" s="13">
        <f t="shared" si="10"/>
        <v>0</v>
      </c>
      <c r="Y22" s="13">
        <f t="shared" si="11"/>
        <v>0</v>
      </c>
      <c r="Z22" s="13">
        <f t="shared" si="12"/>
        <v>0</v>
      </c>
      <c r="AA22" s="22">
        <f t="shared" si="13"/>
        <v>0.00956614552644231</v>
      </c>
      <c r="AB22" s="26">
        <f t="shared" si="2"/>
        <v>0.10099618737609393</v>
      </c>
      <c r="AC22" s="14">
        <f t="shared" si="3"/>
        <v>0</v>
      </c>
      <c r="AD22" s="14">
        <f t="shared" si="4"/>
        <v>0</v>
      </c>
      <c r="AE22" s="14">
        <f t="shared" si="5"/>
        <v>0</v>
      </c>
      <c r="AF22" s="27">
        <f t="shared" si="6"/>
        <v>0.10099618737609393</v>
      </c>
    </row>
    <row r="23" spans="1:32" ht="15">
      <c r="A23" s="4">
        <v>1945</v>
      </c>
      <c r="B23" s="3">
        <v>47440</v>
      </c>
      <c r="C23" s="3">
        <v>4364.80556774</v>
      </c>
      <c r="D23" s="3">
        <f t="shared" si="0"/>
        <v>474.44740684000004</v>
      </c>
      <c r="G23" s="40">
        <f t="shared" si="1"/>
        <v>474.44740684000004</v>
      </c>
      <c r="I23" s="39">
        <v>474.44740684000004</v>
      </c>
      <c r="J23" s="39"/>
      <c r="K23" s="39"/>
      <c r="L23" s="39"/>
      <c r="M23" s="39"/>
      <c r="N23" s="39">
        <v>0</v>
      </c>
      <c r="O23" s="36">
        <f t="shared" si="7"/>
        <v>0</v>
      </c>
      <c r="P23" s="39">
        <v>0</v>
      </c>
      <c r="Q23" s="38">
        <v>0</v>
      </c>
      <c r="R23" s="38">
        <v>0</v>
      </c>
      <c r="S23" s="38">
        <v>0</v>
      </c>
      <c r="T23" s="38"/>
      <c r="U23" s="38"/>
      <c r="V23" s="34">
        <f t="shared" si="8"/>
        <v>0</v>
      </c>
      <c r="W23" s="21">
        <f t="shared" si="9"/>
        <v>0.010000999301011806</v>
      </c>
      <c r="X23" s="13">
        <f t="shared" si="10"/>
        <v>0</v>
      </c>
      <c r="Y23" s="13">
        <f t="shared" si="11"/>
        <v>0</v>
      </c>
      <c r="Z23" s="13">
        <f t="shared" si="12"/>
        <v>0</v>
      </c>
      <c r="AA23" s="22">
        <f t="shared" si="13"/>
        <v>0.010000999301011806</v>
      </c>
      <c r="AB23" s="26">
        <f t="shared" si="2"/>
        <v>0.10869840579993084</v>
      </c>
      <c r="AC23" s="14">
        <f t="shared" si="3"/>
        <v>0</v>
      </c>
      <c r="AD23" s="14">
        <f t="shared" si="4"/>
        <v>0</v>
      </c>
      <c r="AE23" s="14">
        <f t="shared" si="5"/>
        <v>0</v>
      </c>
      <c r="AF23" s="27">
        <f t="shared" si="6"/>
        <v>0.10869840579993084</v>
      </c>
    </row>
    <row r="24" spans="1:32" ht="15">
      <c r="A24" s="4">
        <v>1946</v>
      </c>
      <c r="B24" s="3">
        <v>59840</v>
      </c>
      <c r="C24" s="3">
        <v>5041.084411</v>
      </c>
      <c r="D24" s="3">
        <f t="shared" si="0"/>
        <v>318.26490283</v>
      </c>
      <c r="G24" s="40">
        <f t="shared" si="1"/>
        <v>318.26490283</v>
      </c>
      <c r="I24" s="39">
        <v>318.26490283</v>
      </c>
      <c r="J24" s="39"/>
      <c r="K24" s="39"/>
      <c r="L24" s="39"/>
      <c r="M24" s="39"/>
      <c r="N24" s="39">
        <v>0</v>
      </c>
      <c r="O24" s="36">
        <f t="shared" si="7"/>
        <v>0</v>
      </c>
      <c r="P24" s="39">
        <v>0</v>
      </c>
      <c r="Q24" s="38">
        <v>0</v>
      </c>
      <c r="R24" s="38">
        <v>0</v>
      </c>
      <c r="S24" s="38">
        <v>0</v>
      </c>
      <c r="T24" s="38"/>
      <c r="U24" s="38"/>
      <c r="V24" s="34">
        <f t="shared" si="8"/>
        <v>0</v>
      </c>
      <c r="W24" s="21">
        <f t="shared" si="9"/>
        <v>0.0053185979751002675</v>
      </c>
      <c r="X24" s="13">
        <f t="shared" si="10"/>
        <v>0</v>
      </c>
      <c r="Y24" s="13">
        <f t="shared" si="11"/>
        <v>0</v>
      </c>
      <c r="Z24" s="13">
        <f t="shared" si="12"/>
        <v>0</v>
      </c>
      <c r="AA24" s="22">
        <f t="shared" si="13"/>
        <v>0.0053185979751002675</v>
      </c>
      <c r="AB24" s="26">
        <f t="shared" si="2"/>
        <v>0.06313421416541323</v>
      </c>
      <c r="AC24" s="14">
        <f t="shared" si="3"/>
        <v>0</v>
      </c>
      <c r="AD24" s="14">
        <f t="shared" si="4"/>
        <v>0</v>
      </c>
      <c r="AE24" s="14">
        <f t="shared" si="5"/>
        <v>0</v>
      </c>
      <c r="AF24" s="27">
        <f t="shared" si="6"/>
        <v>0.06313421416541323</v>
      </c>
    </row>
    <row r="25" spans="1:32" ht="15">
      <c r="A25" s="4">
        <v>1947</v>
      </c>
      <c r="B25" s="3">
        <v>70810</v>
      </c>
      <c r="C25" s="3">
        <v>7615.485</v>
      </c>
      <c r="D25" s="3">
        <f t="shared" si="0"/>
        <v>295.42804503</v>
      </c>
      <c r="G25" s="40">
        <f t="shared" si="1"/>
        <v>252.28294048</v>
      </c>
      <c r="I25" s="39">
        <v>252.28294048</v>
      </c>
      <c r="J25" s="39"/>
      <c r="K25" s="39"/>
      <c r="L25" s="39"/>
      <c r="M25" s="39"/>
      <c r="N25" s="39">
        <v>0</v>
      </c>
      <c r="O25" s="36">
        <f t="shared" si="7"/>
        <v>43.14510455</v>
      </c>
      <c r="P25" s="39">
        <v>43.14510455</v>
      </c>
      <c r="Q25" s="38">
        <v>0</v>
      </c>
      <c r="R25" s="38">
        <v>0</v>
      </c>
      <c r="S25" s="38">
        <v>0</v>
      </c>
      <c r="T25" s="38"/>
      <c r="U25" s="38"/>
      <c r="V25" s="34">
        <f t="shared" si="8"/>
        <v>0</v>
      </c>
      <c r="W25" s="21">
        <f t="shared" si="9"/>
        <v>0.00356281514588335</v>
      </c>
      <c r="X25" s="13">
        <f t="shared" si="10"/>
        <v>0</v>
      </c>
      <c r="Y25" s="13">
        <f t="shared" si="11"/>
        <v>0.0006093080716000564</v>
      </c>
      <c r="Z25" s="13">
        <f t="shared" si="12"/>
        <v>0</v>
      </c>
      <c r="AA25" s="22">
        <f t="shared" si="13"/>
        <v>0.004172123217483407</v>
      </c>
      <c r="AB25" s="26">
        <f t="shared" si="2"/>
        <v>0.03312762620896765</v>
      </c>
      <c r="AC25" s="14">
        <f t="shared" si="3"/>
        <v>0</v>
      </c>
      <c r="AD25" s="14">
        <f t="shared" si="4"/>
        <v>0.005665444098438905</v>
      </c>
      <c r="AE25" s="14">
        <f t="shared" si="5"/>
        <v>0</v>
      </c>
      <c r="AF25" s="27">
        <f t="shared" si="6"/>
        <v>0.03879307030740656</v>
      </c>
    </row>
    <row r="26" spans="1:32" ht="15">
      <c r="A26" s="4">
        <v>1948</v>
      </c>
      <c r="B26" s="3">
        <v>95860</v>
      </c>
      <c r="C26" s="3">
        <v>10103.172</v>
      </c>
      <c r="D26" s="3">
        <f t="shared" si="0"/>
        <v>2185.57</v>
      </c>
      <c r="G26" s="40">
        <f t="shared" si="1"/>
        <v>1912.211</v>
      </c>
      <c r="I26" s="40">
        <v>1912.211</v>
      </c>
      <c r="N26" s="40">
        <v>0</v>
      </c>
      <c r="O26" s="36">
        <f t="shared" si="7"/>
        <v>273.359</v>
      </c>
      <c r="P26" s="40">
        <v>273.359</v>
      </c>
      <c r="Q26" s="41">
        <v>0</v>
      </c>
      <c r="R26" s="41">
        <v>0</v>
      </c>
      <c r="S26" s="41">
        <v>0</v>
      </c>
      <c r="T26" s="41"/>
      <c r="U26" s="41"/>
      <c r="V26" s="34">
        <f t="shared" si="8"/>
        <v>0</v>
      </c>
      <c r="W26" s="21">
        <f t="shared" si="9"/>
        <v>0.01994795535155435</v>
      </c>
      <c r="X26" s="13">
        <f t="shared" si="10"/>
        <v>0</v>
      </c>
      <c r="Y26" s="13">
        <f t="shared" si="11"/>
        <v>0.0028516482370123095</v>
      </c>
      <c r="Z26" s="13">
        <f t="shared" si="12"/>
        <v>0</v>
      </c>
      <c r="AA26" s="22">
        <f t="shared" si="13"/>
        <v>0.022799603588566662</v>
      </c>
      <c r="AB26" s="26">
        <f t="shared" si="2"/>
        <v>0.18926838026710818</v>
      </c>
      <c r="AC26" s="14">
        <f t="shared" si="3"/>
        <v>0</v>
      </c>
      <c r="AD26" s="14">
        <f t="shared" si="4"/>
        <v>0.027056750097890044</v>
      </c>
      <c r="AE26" s="14">
        <f t="shared" si="5"/>
        <v>0</v>
      </c>
      <c r="AF26" s="27">
        <f t="shared" si="6"/>
        <v>0.21632513036499826</v>
      </c>
    </row>
    <row r="27" spans="1:32" ht="15">
      <c r="A27" s="4">
        <v>1949</v>
      </c>
      <c r="B27" s="3">
        <v>113740</v>
      </c>
      <c r="C27" s="3">
        <v>11294.666</v>
      </c>
      <c r="D27" s="3">
        <f t="shared" si="0"/>
        <v>1873.1390000000001</v>
      </c>
      <c r="G27" s="40">
        <f t="shared" si="1"/>
        <v>1584.673</v>
      </c>
      <c r="I27" s="40">
        <v>1584.673</v>
      </c>
      <c r="N27" s="40">
        <v>0</v>
      </c>
      <c r="O27" s="36">
        <f t="shared" si="7"/>
        <v>288.466</v>
      </c>
      <c r="P27" s="40">
        <v>273.359</v>
      </c>
      <c r="Q27" s="41">
        <v>15.107</v>
      </c>
      <c r="R27" s="41">
        <v>0</v>
      </c>
      <c r="S27" s="41">
        <v>0</v>
      </c>
      <c r="T27" s="41"/>
      <c r="U27" s="41"/>
      <c r="V27" s="34">
        <f t="shared" si="8"/>
        <v>0</v>
      </c>
      <c r="W27" s="21">
        <f t="shared" si="9"/>
        <v>0.013932416036574644</v>
      </c>
      <c r="X27" s="13">
        <f t="shared" si="10"/>
        <v>0</v>
      </c>
      <c r="Y27" s="13">
        <f t="shared" si="11"/>
        <v>0.002536187796729383</v>
      </c>
      <c r="Z27" s="13">
        <f t="shared" si="12"/>
        <v>0</v>
      </c>
      <c r="AA27" s="22">
        <f t="shared" si="13"/>
        <v>0.01646860383330403</v>
      </c>
      <c r="AB27" s="26">
        <f t="shared" si="2"/>
        <v>0.14030277654956774</v>
      </c>
      <c r="AC27" s="14">
        <f t="shared" si="3"/>
        <v>0</v>
      </c>
      <c r="AD27" s="14">
        <f t="shared" si="4"/>
        <v>0.025540020395468092</v>
      </c>
      <c r="AE27" s="14">
        <f t="shared" si="5"/>
        <v>0</v>
      </c>
      <c r="AF27" s="27">
        <f t="shared" si="6"/>
        <v>0.16584279694503584</v>
      </c>
    </row>
    <row r="28" spans="1:32" ht="15">
      <c r="A28" s="4">
        <v>1950</v>
      </c>
      <c r="B28" s="3">
        <v>140210</v>
      </c>
      <c r="C28" s="3">
        <v>13700.751</v>
      </c>
      <c r="D28" s="3">
        <f t="shared" si="0"/>
        <v>2201.5</v>
      </c>
      <c r="G28" s="40">
        <f t="shared" si="1"/>
        <v>1901.484</v>
      </c>
      <c r="I28" s="40">
        <v>1901.484</v>
      </c>
      <c r="N28" s="40">
        <v>0</v>
      </c>
      <c r="O28" s="36">
        <f t="shared" si="7"/>
        <v>300.016</v>
      </c>
      <c r="P28" s="40">
        <v>273.358</v>
      </c>
      <c r="Q28" s="41">
        <v>26.658</v>
      </c>
      <c r="R28" s="41">
        <v>0</v>
      </c>
      <c r="S28" s="41">
        <v>0</v>
      </c>
      <c r="T28" s="41"/>
      <c r="U28" s="41"/>
      <c r="V28" s="34">
        <f t="shared" si="8"/>
        <v>0</v>
      </c>
      <c r="W28" s="21">
        <f t="shared" si="9"/>
        <v>0.013561686042365023</v>
      </c>
      <c r="X28" s="13">
        <f t="shared" si="10"/>
        <v>0</v>
      </c>
      <c r="Y28" s="13">
        <f t="shared" si="11"/>
        <v>0.0021397617858925897</v>
      </c>
      <c r="Z28" s="13">
        <f t="shared" si="12"/>
        <v>0</v>
      </c>
      <c r="AA28" s="22">
        <f t="shared" si="13"/>
        <v>0.015701447828257612</v>
      </c>
      <c r="AB28" s="26">
        <f t="shared" si="2"/>
        <v>0.1387868446043578</v>
      </c>
      <c r="AC28" s="14">
        <f t="shared" si="3"/>
        <v>0</v>
      </c>
      <c r="AD28" s="14">
        <f t="shared" si="4"/>
        <v>0.02189777772036</v>
      </c>
      <c r="AE28" s="14">
        <f t="shared" si="5"/>
        <v>0</v>
      </c>
      <c r="AF28" s="27">
        <f t="shared" si="6"/>
        <v>0.1606846223247178</v>
      </c>
    </row>
    <row r="29" spans="1:32" ht="15">
      <c r="A29" s="4">
        <v>1951</v>
      </c>
      <c r="B29" s="3">
        <v>178090</v>
      </c>
      <c r="C29" s="3">
        <v>17271.810999999998</v>
      </c>
      <c r="D29" s="3">
        <f t="shared" si="0"/>
        <v>2282.874</v>
      </c>
      <c r="G29" s="40">
        <f t="shared" si="1"/>
        <v>1910.125</v>
      </c>
      <c r="I29" s="40">
        <v>1910.125</v>
      </c>
      <c r="N29" s="40">
        <v>0</v>
      </c>
      <c r="O29" s="36">
        <f t="shared" si="7"/>
        <v>372.749</v>
      </c>
      <c r="P29" s="40">
        <v>273.358</v>
      </c>
      <c r="Q29" s="41">
        <v>99.391</v>
      </c>
      <c r="R29" s="41">
        <v>0</v>
      </c>
      <c r="S29" s="41">
        <v>0</v>
      </c>
      <c r="T29" s="41"/>
      <c r="U29" s="41"/>
      <c r="V29" s="34">
        <f t="shared" si="8"/>
        <v>0</v>
      </c>
      <c r="W29" s="21">
        <f t="shared" si="9"/>
        <v>0.010725616261440845</v>
      </c>
      <c r="X29" s="13">
        <f t="shared" si="10"/>
        <v>0</v>
      </c>
      <c r="Y29" s="13">
        <f t="shared" si="11"/>
        <v>0.002093037228367679</v>
      </c>
      <c r="Z29" s="13">
        <f t="shared" si="12"/>
        <v>0</v>
      </c>
      <c r="AA29" s="22">
        <f t="shared" si="13"/>
        <v>0.012818653489808523</v>
      </c>
      <c r="AB29" s="26">
        <f t="shared" si="2"/>
        <v>0.11059205082779103</v>
      </c>
      <c r="AC29" s="14">
        <f t="shared" si="3"/>
        <v>0</v>
      </c>
      <c r="AD29" s="14">
        <f t="shared" si="4"/>
        <v>0.021581350096987518</v>
      </c>
      <c r="AE29" s="14">
        <f t="shared" si="5"/>
        <v>0</v>
      </c>
      <c r="AF29" s="27">
        <f t="shared" si="6"/>
        <v>0.13217340092477853</v>
      </c>
    </row>
    <row r="30" spans="1:32" ht="15">
      <c r="A30" s="4">
        <v>1952</v>
      </c>
      <c r="B30" s="3">
        <v>233680</v>
      </c>
      <c r="C30" s="3">
        <v>22799.429</v>
      </c>
      <c r="D30" s="3">
        <f t="shared" si="0"/>
        <v>2736.283</v>
      </c>
      <c r="G30" s="40">
        <f t="shared" si="1"/>
        <v>2372.576</v>
      </c>
      <c r="I30" s="40">
        <v>2372.576</v>
      </c>
      <c r="N30" s="40">
        <v>0</v>
      </c>
      <c r="O30" s="36">
        <f t="shared" si="7"/>
        <v>363.707</v>
      </c>
      <c r="P30" s="40">
        <v>331.772</v>
      </c>
      <c r="Q30" s="41">
        <v>31.935</v>
      </c>
      <c r="R30" s="41">
        <v>0</v>
      </c>
      <c r="S30" s="41">
        <v>0</v>
      </c>
      <c r="T30" s="41"/>
      <c r="U30" s="41"/>
      <c r="V30" s="34">
        <f t="shared" si="8"/>
        <v>0</v>
      </c>
      <c r="W30" s="21">
        <f t="shared" si="9"/>
        <v>0.010153098254022596</v>
      </c>
      <c r="X30" s="13">
        <f t="shared" si="10"/>
        <v>0</v>
      </c>
      <c r="Y30" s="13">
        <f t="shared" si="11"/>
        <v>0.0015564318726463539</v>
      </c>
      <c r="Z30" s="13">
        <f t="shared" si="12"/>
        <v>0</v>
      </c>
      <c r="AA30" s="22">
        <f t="shared" si="13"/>
        <v>0.011709530126668949</v>
      </c>
      <c r="AB30" s="26">
        <f t="shared" si="2"/>
        <v>0.10406295701528315</v>
      </c>
      <c r="AC30" s="14">
        <f t="shared" si="3"/>
        <v>0</v>
      </c>
      <c r="AD30" s="14">
        <f t="shared" si="4"/>
        <v>0.015952460914700976</v>
      </c>
      <c r="AE30" s="14">
        <f t="shared" si="5"/>
        <v>0</v>
      </c>
      <c r="AF30" s="27">
        <f t="shared" si="6"/>
        <v>0.12001541792998412</v>
      </c>
    </row>
    <row r="31" spans="1:32" ht="15">
      <c r="A31" s="4">
        <v>1953</v>
      </c>
      <c r="B31" s="3">
        <v>312100</v>
      </c>
      <c r="C31" s="3">
        <v>46066.07000000001</v>
      </c>
      <c r="D31" s="3">
        <f t="shared" si="0"/>
        <v>9711.613000000001</v>
      </c>
      <c r="G31" s="40">
        <f t="shared" si="1"/>
        <v>8434.342</v>
      </c>
      <c r="I31" s="40">
        <v>8434.342</v>
      </c>
      <c r="N31" s="40">
        <v>0</v>
      </c>
      <c r="O31" s="36">
        <f t="shared" si="7"/>
        <v>1277.2710000000002</v>
      </c>
      <c r="P31" s="40">
        <v>1177.256</v>
      </c>
      <c r="Q31" s="41">
        <v>100.015</v>
      </c>
      <c r="R31" s="41">
        <v>0</v>
      </c>
      <c r="S31" s="41">
        <v>0</v>
      </c>
      <c r="T31" s="41"/>
      <c r="U31" s="41"/>
      <c r="V31" s="34">
        <f t="shared" si="8"/>
        <v>0</v>
      </c>
      <c r="W31" s="21">
        <f t="shared" si="9"/>
        <v>0.02702448574174944</v>
      </c>
      <c r="X31" s="13">
        <f t="shared" si="10"/>
        <v>0</v>
      </c>
      <c r="Y31" s="13">
        <f t="shared" si="11"/>
        <v>0.004092505607177188</v>
      </c>
      <c r="Z31" s="13">
        <f t="shared" si="12"/>
        <v>0</v>
      </c>
      <c r="AA31" s="22">
        <f t="shared" si="13"/>
        <v>0.03111699134892663</v>
      </c>
      <c r="AB31" s="26">
        <f t="shared" si="2"/>
        <v>0.18309228462510474</v>
      </c>
      <c r="AC31" s="14">
        <f t="shared" si="3"/>
        <v>0</v>
      </c>
      <c r="AD31" s="14">
        <f t="shared" si="4"/>
        <v>0.027726936550046488</v>
      </c>
      <c r="AE31" s="14">
        <f t="shared" si="5"/>
        <v>0</v>
      </c>
      <c r="AF31" s="27">
        <f t="shared" si="6"/>
        <v>0.21081922117515126</v>
      </c>
    </row>
    <row r="32" spans="1:32" ht="15">
      <c r="A32" s="4">
        <v>1954</v>
      </c>
      <c r="B32" s="3">
        <v>522329.99999999994</v>
      </c>
      <c r="C32" s="3">
        <v>64382.176999999996</v>
      </c>
      <c r="D32" s="3">
        <f t="shared" si="0"/>
        <v>10221.665</v>
      </c>
      <c r="G32" s="40">
        <f t="shared" si="1"/>
        <v>6940.917</v>
      </c>
      <c r="I32" s="40">
        <v>6940.917</v>
      </c>
      <c r="N32" s="40">
        <v>0</v>
      </c>
      <c r="O32" s="36">
        <f t="shared" si="7"/>
        <v>3280.7480000000005</v>
      </c>
      <c r="P32" s="40">
        <v>1177.256</v>
      </c>
      <c r="Q32" s="41">
        <v>2103.492</v>
      </c>
      <c r="R32" s="41">
        <v>0</v>
      </c>
      <c r="S32" s="41">
        <v>0</v>
      </c>
      <c r="T32" s="41"/>
      <c r="U32" s="41"/>
      <c r="V32" s="34">
        <f t="shared" si="8"/>
        <v>0</v>
      </c>
      <c r="W32" s="21">
        <f t="shared" si="9"/>
        <v>0.013288375165125498</v>
      </c>
      <c r="X32" s="13">
        <f t="shared" si="10"/>
        <v>0</v>
      </c>
      <c r="Y32" s="13">
        <f t="shared" si="11"/>
        <v>0.006280987115425116</v>
      </c>
      <c r="Z32" s="13">
        <f t="shared" si="12"/>
        <v>0</v>
      </c>
      <c r="AA32" s="22">
        <f t="shared" si="13"/>
        <v>0.019569362280550614</v>
      </c>
      <c r="AB32" s="26">
        <f t="shared" si="2"/>
        <v>0.10780805066594752</v>
      </c>
      <c r="AC32" s="14">
        <f t="shared" si="3"/>
        <v>0</v>
      </c>
      <c r="AD32" s="14">
        <f t="shared" si="4"/>
        <v>0.0509573946218066</v>
      </c>
      <c r="AE32" s="14">
        <f t="shared" si="5"/>
        <v>0</v>
      </c>
      <c r="AF32" s="27">
        <f t="shared" si="6"/>
        <v>0.1587654452877541</v>
      </c>
    </row>
    <row r="33" spans="1:32" ht="15">
      <c r="A33" s="4">
        <v>1955</v>
      </c>
      <c r="B33" s="3">
        <v>921170</v>
      </c>
      <c r="C33" s="3">
        <v>86619.34599999999</v>
      </c>
      <c r="D33" s="3">
        <f t="shared" si="0"/>
        <v>4530.382</v>
      </c>
      <c r="G33" s="40">
        <f t="shared" si="1"/>
        <v>50.727</v>
      </c>
      <c r="I33" s="40">
        <v>50.727</v>
      </c>
      <c r="N33" s="40">
        <v>0</v>
      </c>
      <c r="O33" s="36">
        <f t="shared" si="7"/>
        <v>4479.655</v>
      </c>
      <c r="P33" s="40">
        <v>1177.256</v>
      </c>
      <c r="Q33" s="41">
        <v>3302.399</v>
      </c>
      <c r="R33" s="41">
        <v>0</v>
      </c>
      <c r="S33" s="41">
        <v>0</v>
      </c>
      <c r="T33" s="41"/>
      <c r="U33" s="41"/>
      <c r="V33" s="34">
        <f t="shared" si="8"/>
        <v>1.3500311979441904E-13</v>
      </c>
      <c r="W33" s="21">
        <f t="shared" si="9"/>
        <v>5.5068011333412936E-05</v>
      </c>
      <c r="X33" s="13">
        <f t="shared" si="10"/>
        <v>0</v>
      </c>
      <c r="Y33" s="13">
        <f t="shared" si="11"/>
        <v>0.004863005742696788</v>
      </c>
      <c r="Z33" s="13">
        <f t="shared" si="12"/>
        <v>0</v>
      </c>
      <c r="AA33" s="22">
        <f t="shared" si="13"/>
        <v>0.0049180737540302005</v>
      </c>
      <c r="AB33" s="26">
        <f t="shared" si="2"/>
        <v>0.0005856312976549143</v>
      </c>
      <c r="AC33" s="14">
        <f t="shared" si="3"/>
        <v>0</v>
      </c>
      <c r="AD33" s="14">
        <f t="shared" si="4"/>
        <v>0.051716564565149226</v>
      </c>
      <c r="AE33" s="14">
        <f t="shared" si="5"/>
        <v>0</v>
      </c>
      <c r="AF33" s="27">
        <f t="shared" si="6"/>
        <v>0.052302195862804136</v>
      </c>
    </row>
    <row r="34" spans="1:32" ht="15">
      <c r="A34" s="4">
        <v>1956</v>
      </c>
      <c r="B34" s="3">
        <v>1476070</v>
      </c>
      <c r="C34" s="3">
        <v>130974.76499999998</v>
      </c>
      <c r="D34" s="3">
        <f t="shared" si="0"/>
        <v>18068.509</v>
      </c>
      <c r="G34" s="40">
        <f t="shared" si="1"/>
        <v>7971.256</v>
      </c>
      <c r="I34" s="40">
        <v>7971.256</v>
      </c>
      <c r="N34" s="40">
        <v>0</v>
      </c>
      <c r="O34" s="36">
        <f t="shared" si="7"/>
        <v>10097.252999999999</v>
      </c>
      <c r="P34" s="40">
        <v>1177.256</v>
      </c>
      <c r="Q34" s="41">
        <v>8919.997</v>
      </c>
      <c r="R34" s="41">
        <v>0</v>
      </c>
      <c r="S34" s="41">
        <v>0</v>
      </c>
      <c r="T34" s="41"/>
      <c r="U34" s="41"/>
      <c r="V34" s="34">
        <f t="shared" si="8"/>
        <v>0</v>
      </c>
      <c r="W34" s="21">
        <f t="shared" si="9"/>
        <v>0.005400323832880555</v>
      </c>
      <c r="X34" s="13">
        <f t="shared" si="10"/>
        <v>0</v>
      </c>
      <c r="Y34" s="13">
        <f t="shared" si="11"/>
        <v>0.006840632896813836</v>
      </c>
      <c r="Z34" s="13">
        <f t="shared" si="12"/>
        <v>0</v>
      </c>
      <c r="AA34" s="22">
        <f t="shared" si="13"/>
        <v>0.01224095672969439</v>
      </c>
      <c r="AB34" s="26">
        <f t="shared" si="2"/>
        <v>0.060861006316751176</v>
      </c>
      <c r="AC34" s="14">
        <f t="shared" si="3"/>
        <v>0</v>
      </c>
      <c r="AD34" s="14">
        <f t="shared" si="4"/>
        <v>0.07709311789946713</v>
      </c>
      <c r="AE34" s="14">
        <f t="shared" si="5"/>
        <v>0</v>
      </c>
      <c r="AF34" s="27">
        <f t="shared" si="6"/>
        <v>0.1379541242162183</v>
      </c>
    </row>
    <row r="35" spans="1:32" ht="15">
      <c r="A35" s="4">
        <v>1957</v>
      </c>
      <c r="B35" s="3">
        <v>2043450</v>
      </c>
      <c r="C35" s="3">
        <v>160531.9</v>
      </c>
      <c r="D35" s="3">
        <f t="shared" si="0"/>
        <v>7918.5740000000005</v>
      </c>
      <c r="G35" s="40">
        <f t="shared" si="1"/>
        <v>5798.51</v>
      </c>
      <c r="I35" s="40">
        <v>5798.51</v>
      </c>
      <c r="N35" s="40">
        <v>0</v>
      </c>
      <c r="O35" s="36">
        <f t="shared" si="7"/>
        <v>2120.0640000000003</v>
      </c>
      <c r="P35" s="40">
        <v>1177.256</v>
      </c>
      <c r="Q35" s="41">
        <v>942.808</v>
      </c>
      <c r="R35" s="41">
        <v>0</v>
      </c>
      <c r="S35" s="41">
        <v>0</v>
      </c>
      <c r="T35" s="41"/>
      <c r="U35" s="41"/>
      <c r="V35" s="34">
        <f t="shared" si="8"/>
        <v>0</v>
      </c>
      <c r="W35" s="21">
        <f t="shared" si="9"/>
        <v>0.0028376079669186916</v>
      </c>
      <c r="X35" s="13">
        <f t="shared" si="10"/>
        <v>0</v>
      </c>
      <c r="Y35" s="13">
        <f t="shared" si="11"/>
        <v>0.001037492475959774</v>
      </c>
      <c r="Z35" s="13">
        <f t="shared" si="12"/>
        <v>0</v>
      </c>
      <c r="AA35" s="22">
        <f t="shared" si="13"/>
        <v>0.0038751004428784655</v>
      </c>
      <c r="AB35" s="26">
        <f t="shared" si="2"/>
        <v>0.03612060905028845</v>
      </c>
      <c r="AC35" s="14">
        <f t="shared" si="3"/>
        <v>0</v>
      </c>
      <c r="AD35" s="14">
        <f t="shared" si="4"/>
        <v>0.013206496652690216</v>
      </c>
      <c r="AE35" s="14">
        <f t="shared" si="5"/>
        <v>0</v>
      </c>
      <c r="AF35" s="27">
        <f t="shared" si="6"/>
        <v>0.049327105702978664</v>
      </c>
    </row>
    <row r="36" spans="1:32" ht="15">
      <c r="A36" s="4">
        <v>1958</v>
      </c>
      <c r="B36" s="3">
        <v>2623310</v>
      </c>
      <c r="C36" s="3">
        <v>210749.511</v>
      </c>
      <c r="D36" s="3">
        <f t="shared" si="0"/>
        <v>9272.171</v>
      </c>
      <c r="G36" s="40">
        <f t="shared" si="1"/>
        <v>6680.866</v>
      </c>
      <c r="I36" s="40">
        <v>6680.866</v>
      </c>
      <c r="N36" s="40">
        <v>0</v>
      </c>
      <c r="O36" s="36">
        <f t="shared" si="7"/>
        <v>2591.3050000000003</v>
      </c>
      <c r="P36" s="40">
        <v>1177.256</v>
      </c>
      <c r="Q36" s="41">
        <v>1414.049</v>
      </c>
      <c r="R36" s="41">
        <v>0</v>
      </c>
      <c r="S36" s="41">
        <v>0</v>
      </c>
      <c r="T36" s="41"/>
      <c r="U36" s="41"/>
      <c r="V36" s="34">
        <f t="shared" si="8"/>
        <v>0</v>
      </c>
      <c r="W36" s="21">
        <f t="shared" si="9"/>
        <v>0.002546731419466247</v>
      </c>
      <c r="X36" s="13">
        <f t="shared" si="10"/>
        <v>0</v>
      </c>
      <c r="Y36" s="13">
        <f t="shared" si="11"/>
        <v>0.0009877997644197598</v>
      </c>
      <c r="Z36" s="13">
        <f t="shared" si="12"/>
        <v>0</v>
      </c>
      <c r="AA36" s="22">
        <f t="shared" si="13"/>
        <v>0.0035345311838860067</v>
      </c>
      <c r="AB36" s="26">
        <f t="shared" si="2"/>
        <v>0.03170050534541928</v>
      </c>
      <c r="AC36" s="14">
        <f aca="true" t="shared" si="14" ref="AC36:AC67">+N36/$C36</f>
        <v>0</v>
      </c>
      <c r="AD36" s="14">
        <f aca="true" t="shared" si="15" ref="AD36:AD67">+O36/$C36</f>
        <v>0.012295663167636011</v>
      </c>
      <c r="AE36" s="14">
        <f aca="true" t="shared" si="16" ref="AE36:AE67">+S36/$C36</f>
        <v>0</v>
      </c>
      <c r="AF36" s="27">
        <f aca="true" t="shared" si="17" ref="AF36:AF67">+D36/$C36</f>
        <v>0.043996168513055295</v>
      </c>
    </row>
    <row r="37" spans="1:32" ht="15">
      <c r="A37" s="4">
        <v>1959</v>
      </c>
      <c r="B37" s="3">
        <v>3681420</v>
      </c>
      <c r="C37" s="3">
        <v>732858.181</v>
      </c>
      <c r="D37" s="3">
        <f t="shared" si="0"/>
        <v>154163.7643</v>
      </c>
      <c r="G37" s="40">
        <f t="shared" si="1"/>
        <v>150729.606</v>
      </c>
      <c r="I37" s="40">
        <v>150729.606</v>
      </c>
      <c r="N37" s="40">
        <v>0</v>
      </c>
      <c r="O37" s="36">
        <f t="shared" si="7"/>
        <v>3434.1583</v>
      </c>
      <c r="P37" s="40">
        <v>15.8063</v>
      </c>
      <c r="Q37" s="41">
        <v>3418.352</v>
      </c>
      <c r="R37" s="41">
        <v>0</v>
      </c>
      <c r="S37" s="41">
        <v>0</v>
      </c>
      <c r="T37" s="41"/>
      <c r="U37" s="41"/>
      <c r="V37" s="34">
        <f t="shared" si="8"/>
        <v>0</v>
      </c>
      <c r="W37" s="21">
        <f t="shared" si="9"/>
        <v>0.04094333327900647</v>
      </c>
      <c r="X37" s="13">
        <f t="shared" si="10"/>
        <v>0</v>
      </c>
      <c r="Y37" s="13">
        <f t="shared" si="11"/>
        <v>0.0009328352374898816</v>
      </c>
      <c r="Z37" s="13">
        <f t="shared" si="12"/>
        <v>0</v>
      </c>
      <c r="AA37" s="22">
        <f t="shared" si="13"/>
        <v>0.04187616851649636</v>
      </c>
      <c r="AB37" s="26">
        <f t="shared" si="2"/>
        <v>0.20567363496485278</v>
      </c>
      <c r="AC37" s="14">
        <f t="shared" si="14"/>
        <v>0</v>
      </c>
      <c r="AD37" s="14">
        <f t="shared" si="15"/>
        <v>0.0046859793463914405</v>
      </c>
      <c r="AE37" s="14">
        <f t="shared" si="16"/>
        <v>0</v>
      </c>
      <c r="AF37" s="27">
        <f t="shared" si="17"/>
        <v>0.21035961431124423</v>
      </c>
    </row>
    <row r="38" spans="1:32" ht="15">
      <c r="A38" s="4">
        <v>1960</v>
      </c>
      <c r="B38" s="3">
        <v>4265000</v>
      </c>
      <c r="C38" s="3">
        <v>592645.5</v>
      </c>
      <c r="D38" s="3">
        <f t="shared" si="0"/>
        <v>134722.19999999998</v>
      </c>
      <c r="G38" s="40">
        <f t="shared" si="1"/>
        <v>116445.09999999999</v>
      </c>
      <c r="I38" s="40">
        <v>116445.09999999999</v>
      </c>
      <c r="N38" s="40">
        <v>0</v>
      </c>
      <c r="O38" s="36">
        <f t="shared" si="7"/>
        <v>18277.100000000002</v>
      </c>
      <c r="P38" s="40">
        <v>15806.300000000001</v>
      </c>
      <c r="Q38" s="42">
        <v>2470.8</v>
      </c>
      <c r="R38" s="42"/>
      <c r="S38" s="42"/>
      <c r="T38" s="42"/>
      <c r="U38" s="42"/>
      <c r="V38" s="34">
        <f t="shared" si="8"/>
        <v>0</v>
      </c>
      <c r="W38" s="21">
        <f t="shared" si="9"/>
        <v>0.027302485345838217</v>
      </c>
      <c r="X38" s="13">
        <f t="shared" si="10"/>
        <v>0</v>
      </c>
      <c r="Y38" s="13">
        <f t="shared" si="11"/>
        <v>0.004285369284876906</v>
      </c>
      <c r="Z38" s="13">
        <f t="shared" si="12"/>
        <v>0</v>
      </c>
      <c r="AA38" s="22">
        <f t="shared" si="13"/>
        <v>0.03158785463071512</v>
      </c>
      <c r="AB38" s="26">
        <f t="shared" si="2"/>
        <v>0.1964835639518059</v>
      </c>
      <c r="AC38" s="14">
        <f t="shared" si="14"/>
        <v>0</v>
      </c>
      <c r="AD38" s="14">
        <f t="shared" si="15"/>
        <v>0.03083985282938958</v>
      </c>
      <c r="AE38" s="14">
        <f t="shared" si="16"/>
        <v>0</v>
      </c>
      <c r="AF38" s="27">
        <f t="shared" si="17"/>
        <v>0.22732341678119547</v>
      </c>
    </row>
    <row r="39" spans="1:32" ht="15">
      <c r="A39" s="4">
        <v>1961</v>
      </c>
      <c r="B39" s="3">
        <v>4791000</v>
      </c>
      <c r="C39" s="3">
        <v>710000</v>
      </c>
      <c r="D39" s="3">
        <f t="shared" si="0"/>
        <v>99881.99999999999</v>
      </c>
      <c r="G39" s="40">
        <f t="shared" si="1"/>
        <v>77470.29999999999</v>
      </c>
      <c r="I39" s="40">
        <v>77470.29999999999</v>
      </c>
      <c r="N39" s="40">
        <v>0</v>
      </c>
      <c r="O39" s="36">
        <f t="shared" si="7"/>
        <v>22411.7</v>
      </c>
      <c r="P39" s="40">
        <v>22362.600000000002</v>
      </c>
      <c r="Q39" s="42">
        <v>49.1</v>
      </c>
      <c r="R39" s="42"/>
      <c r="S39" s="42"/>
      <c r="T39" s="42"/>
      <c r="U39" s="42"/>
      <c r="V39" s="34">
        <f t="shared" si="8"/>
        <v>0</v>
      </c>
      <c r="W39" s="21">
        <f t="shared" si="9"/>
        <v>0.016169964516802336</v>
      </c>
      <c r="X39" s="13">
        <f t="shared" si="10"/>
        <v>0</v>
      </c>
      <c r="Y39" s="13">
        <f t="shared" si="11"/>
        <v>0.0046778751826341055</v>
      </c>
      <c r="Z39" s="13">
        <f t="shared" si="12"/>
        <v>0</v>
      </c>
      <c r="AA39" s="22">
        <f t="shared" si="13"/>
        <v>0.02084783969943644</v>
      </c>
      <c r="AB39" s="26">
        <f t="shared" si="2"/>
        <v>0.10911309859154927</v>
      </c>
      <c r="AC39" s="14">
        <f t="shared" si="14"/>
        <v>0</v>
      </c>
      <c r="AD39" s="14">
        <f t="shared" si="15"/>
        <v>0.031565774647887325</v>
      </c>
      <c r="AE39" s="14">
        <f t="shared" si="16"/>
        <v>0</v>
      </c>
      <c r="AF39" s="27">
        <f t="shared" si="17"/>
        <v>0.1406788732394366</v>
      </c>
    </row>
    <row r="40" spans="1:32" ht="15">
      <c r="A40" s="4">
        <v>1962</v>
      </c>
      <c r="B40" s="3">
        <v>5651000</v>
      </c>
      <c r="C40" s="3">
        <v>1343725.84</v>
      </c>
      <c r="D40" s="3">
        <f t="shared" si="0"/>
        <v>209804.61600000004</v>
      </c>
      <c r="G40" s="40">
        <f t="shared" si="1"/>
        <v>176968.17600000004</v>
      </c>
      <c r="I40" s="40">
        <v>176968.17600000004</v>
      </c>
      <c r="N40" s="40">
        <v>0</v>
      </c>
      <c r="O40" s="36">
        <f t="shared" si="7"/>
        <v>32836.44</v>
      </c>
      <c r="P40" s="40">
        <v>32829.72</v>
      </c>
      <c r="Q40" s="42">
        <v>6.720000000000001</v>
      </c>
      <c r="R40" s="42"/>
      <c r="S40" s="42"/>
      <c r="T40" s="42"/>
      <c r="U40" s="42"/>
      <c r="V40" s="34">
        <f t="shared" si="8"/>
        <v>0</v>
      </c>
      <c r="W40" s="21">
        <f t="shared" si="9"/>
        <v>0.03131625836135198</v>
      </c>
      <c r="X40" s="13">
        <f t="shared" si="10"/>
        <v>0</v>
      </c>
      <c r="Y40" s="13">
        <f t="shared" si="11"/>
        <v>0.00581073084409839</v>
      </c>
      <c r="Z40" s="13">
        <f t="shared" si="12"/>
        <v>0</v>
      </c>
      <c r="AA40" s="22">
        <f t="shared" si="13"/>
        <v>0.03712698920545037</v>
      </c>
      <c r="AB40" s="26">
        <f t="shared" si="2"/>
        <v>0.1316996151536388</v>
      </c>
      <c r="AC40" s="14">
        <f t="shared" si="14"/>
        <v>0</v>
      </c>
      <c r="AD40" s="14">
        <f t="shared" si="15"/>
        <v>0.024436859828490014</v>
      </c>
      <c r="AE40" s="14">
        <f t="shared" si="16"/>
        <v>0</v>
      </c>
      <c r="AF40" s="27">
        <f t="shared" si="17"/>
        <v>0.15613647498212882</v>
      </c>
    </row>
    <row r="41" spans="1:32" ht="15">
      <c r="A41" s="4">
        <v>1963</v>
      </c>
      <c r="B41" s="3">
        <v>8635000</v>
      </c>
      <c r="C41" s="3">
        <v>1577659.4</v>
      </c>
      <c r="D41" s="3">
        <f t="shared" si="0"/>
        <v>264401.19999999995</v>
      </c>
      <c r="G41" s="40">
        <f t="shared" si="1"/>
        <v>221765.19999999998</v>
      </c>
      <c r="I41" s="40">
        <v>221765.19999999998</v>
      </c>
      <c r="N41" s="40">
        <v>0</v>
      </c>
      <c r="O41" s="36">
        <f t="shared" si="7"/>
        <v>42636</v>
      </c>
      <c r="P41" s="40">
        <v>42636</v>
      </c>
      <c r="Q41" s="42">
        <v>0</v>
      </c>
      <c r="R41" s="42"/>
      <c r="S41" s="42"/>
      <c r="T41" s="42"/>
      <c r="U41" s="42"/>
      <c r="V41" s="34">
        <f t="shared" si="8"/>
        <v>0</v>
      </c>
      <c r="W41" s="21">
        <f t="shared" si="9"/>
        <v>0.025682130862767803</v>
      </c>
      <c r="X41" s="13">
        <f t="shared" si="10"/>
        <v>0</v>
      </c>
      <c r="Y41" s="13">
        <f t="shared" si="11"/>
        <v>0.004937579617834395</v>
      </c>
      <c r="Z41" s="13">
        <f t="shared" si="12"/>
        <v>0</v>
      </c>
      <c r="AA41" s="22">
        <f t="shared" si="13"/>
        <v>0.030619710480602195</v>
      </c>
      <c r="AB41" s="26">
        <f t="shared" si="2"/>
        <v>0.14056595485692286</v>
      </c>
      <c r="AC41" s="14">
        <f t="shared" si="14"/>
        <v>0</v>
      </c>
      <c r="AD41" s="14">
        <f t="shared" si="15"/>
        <v>0.02702484452601113</v>
      </c>
      <c r="AE41" s="14">
        <f t="shared" si="16"/>
        <v>0</v>
      </c>
      <c r="AF41" s="27">
        <f t="shared" si="17"/>
        <v>0.16759079938293397</v>
      </c>
    </row>
    <row r="42" spans="1:32" ht="15">
      <c r="A42" s="4">
        <v>1964</v>
      </c>
      <c r="B42" s="3">
        <v>13130000</v>
      </c>
      <c r="C42" s="3">
        <v>2347696.27</v>
      </c>
      <c r="D42" s="3">
        <f t="shared" si="0"/>
        <v>296984.33999999997</v>
      </c>
      <c r="G42" s="40">
        <f t="shared" si="1"/>
        <v>239425.74</v>
      </c>
      <c r="I42" s="40">
        <v>239425.74</v>
      </c>
      <c r="N42" s="40">
        <v>0</v>
      </c>
      <c r="O42" s="36">
        <f t="shared" si="7"/>
        <v>57558.600000000006</v>
      </c>
      <c r="P42" s="40">
        <v>57558.600000000006</v>
      </c>
      <c r="Q42" s="42">
        <v>0</v>
      </c>
      <c r="R42" s="42"/>
      <c r="S42" s="42"/>
      <c r="T42" s="42"/>
      <c r="U42" s="42"/>
      <c r="V42" s="34">
        <f t="shared" si="8"/>
        <v>0</v>
      </c>
      <c r="W42" s="21">
        <f t="shared" si="9"/>
        <v>0.018235014470677838</v>
      </c>
      <c r="X42" s="13">
        <f t="shared" si="10"/>
        <v>0</v>
      </c>
      <c r="Y42" s="13">
        <f t="shared" si="11"/>
        <v>0.004383747143945164</v>
      </c>
      <c r="Z42" s="13">
        <f t="shared" si="12"/>
        <v>0</v>
      </c>
      <c r="AA42" s="22">
        <f t="shared" si="13"/>
        <v>0.022618761614623</v>
      </c>
      <c r="AB42" s="26">
        <f t="shared" si="2"/>
        <v>0.10198326890045278</v>
      </c>
      <c r="AC42" s="14">
        <f t="shared" si="14"/>
        <v>0</v>
      </c>
      <c r="AD42" s="14">
        <f t="shared" si="15"/>
        <v>0.024517055607027056</v>
      </c>
      <c r="AE42" s="14">
        <f t="shared" si="16"/>
        <v>0</v>
      </c>
      <c r="AF42" s="27">
        <f t="shared" si="17"/>
        <v>0.12650032450747983</v>
      </c>
    </row>
    <row r="43" spans="1:32" ht="15">
      <c r="A43" s="4">
        <v>1965</v>
      </c>
      <c r="B43" s="3">
        <v>18401000</v>
      </c>
      <c r="C43" s="3">
        <v>3374824.2619999996</v>
      </c>
      <c r="D43" s="3">
        <f t="shared" si="0"/>
        <v>549441.0800000001</v>
      </c>
      <c r="G43" s="40">
        <f t="shared" si="1"/>
        <v>475680.80000000005</v>
      </c>
      <c r="I43" s="40">
        <v>475680.80000000005</v>
      </c>
      <c r="N43" s="40">
        <v>0</v>
      </c>
      <c r="O43" s="36">
        <f t="shared" si="7"/>
        <v>73760.28</v>
      </c>
      <c r="P43" s="40">
        <v>73760.28</v>
      </c>
      <c r="Q43" s="42">
        <v>0</v>
      </c>
      <c r="R43" s="42"/>
      <c r="S43" s="42"/>
      <c r="T43" s="42"/>
      <c r="U43" s="42"/>
      <c r="V43" s="34">
        <f t="shared" si="8"/>
        <v>0</v>
      </c>
      <c r="W43" s="21">
        <f t="shared" si="9"/>
        <v>0.025850812455844793</v>
      </c>
      <c r="X43" s="13">
        <f t="shared" si="10"/>
        <v>0</v>
      </c>
      <c r="Y43" s="13">
        <f t="shared" si="11"/>
        <v>0.004008493016683876</v>
      </c>
      <c r="Z43" s="13">
        <f t="shared" si="12"/>
        <v>0</v>
      </c>
      <c r="AA43" s="22">
        <f t="shared" si="13"/>
        <v>0.02985930547252867</v>
      </c>
      <c r="AB43" s="26">
        <f t="shared" si="2"/>
        <v>0.14094979858835688</v>
      </c>
      <c r="AC43" s="14">
        <f t="shared" si="14"/>
        <v>0</v>
      </c>
      <c r="AD43" s="14">
        <f t="shared" si="15"/>
        <v>0.02185603583289636</v>
      </c>
      <c r="AE43" s="14">
        <f t="shared" si="16"/>
        <v>0</v>
      </c>
      <c r="AF43" s="27">
        <f t="shared" si="17"/>
        <v>0.16280583442125324</v>
      </c>
    </row>
    <row r="44" spans="1:32" ht="15">
      <c r="A44" s="4">
        <v>1966</v>
      </c>
      <c r="B44" s="3">
        <v>26280000</v>
      </c>
      <c r="C44" s="3">
        <v>4811764.2</v>
      </c>
      <c r="D44" s="3">
        <f t="shared" si="0"/>
        <v>840037.9</v>
      </c>
      <c r="G44" s="40">
        <f t="shared" si="1"/>
        <v>746897.1</v>
      </c>
      <c r="I44" s="40">
        <v>746897.1</v>
      </c>
      <c r="N44" s="40">
        <v>0</v>
      </c>
      <c r="O44" s="36">
        <f t="shared" si="7"/>
        <v>93140.8</v>
      </c>
      <c r="P44" s="40">
        <v>92946.5</v>
      </c>
      <c r="Q44" s="42">
        <v>194.3</v>
      </c>
      <c r="R44" s="42"/>
      <c r="S44" s="42"/>
      <c r="T44" s="42"/>
      <c r="U44" s="42"/>
      <c r="V44" s="34">
        <f t="shared" si="8"/>
        <v>0</v>
      </c>
      <c r="W44" s="21">
        <f t="shared" si="9"/>
        <v>0.02842074200913242</v>
      </c>
      <c r="X44" s="13">
        <f t="shared" si="10"/>
        <v>0</v>
      </c>
      <c r="Y44" s="13">
        <f t="shared" si="11"/>
        <v>0.0035441704718417047</v>
      </c>
      <c r="Z44" s="13">
        <f t="shared" si="12"/>
        <v>0</v>
      </c>
      <c r="AA44" s="22">
        <f t="shared" si="13"/>
        <v>0.03196491248097413</v>
      </c>
      <c r="AB44" s="26">
        <f t="shared" si="2"/>
        <v>0.1552231300112337</v>
      </c>
      <c r="AC44" s="14">
        <f t="shared" si="14"/>
        <v>0</v>
      </c>
      <c r="AD44" s="14">
        <f t="shared" si="15"/>
        <v>0.019356892010626788</v>
      </c>
      <c r="AE44" s="14">
        <f t="shared" si="16"/>
        <v>0</v>
      </c>
      <c r="AF44" s="27">
        <f t="shared" si="17"/>
        <v>0.17458002202186051</v>
      </c>
    </row>
    <row r="45" spans="1:32" ht="15">
      <c r="A45" s="4">
        <v>1967</v>
      </c>
      <c r="B45" s="3">
        <v>34124000</v>
      </c>
      <c r="C45" s="3">
        <v>6271229.5</v>
      </c>
      <c r="D45" s="3">
        <f t="shared" si="0"/>
        <v>730563.8</v>
      </c>
      <c r="G45" s="40">
        <f t="shared" si="1"/>
        <v>721388.5</v>
      </c>
      <c r="I45" s="40">
        <v>721388.5</v>
      </c>
      <c r="N45" s="40">
        <v>0</v>
      </c>
      <c r="O45" s="36">
        <f t="shared" si="7"/>
        <v>9175.3</v>
      </c>
      <c r="P45" s="40">
        <v>28</v>
      </c>
      <c r="Q45" s="42">
        <v>9147.3</v>
      </c>
      <c r="R45" s="42"/>
      <c r="S45" s="42"/>
      <c r="T45" s="42"/>
      <c r="U45" s="42"/>
      <c r="V45" s="34">
        <f t="shared" si="8"/>
        <v>0</v>
      </c>
      <c r="W45" s="21">
        <f t="shared" si="9"/>
        <v>0.021140209236900714</v>
      </c>
      <c r="X45" s="13">
        <f t="shared" si="10"/>
        <v>0</v>
      </c>
      <c r="Y45" s="13">
        <f t="shared" si="11"/>
        <v>0.00026888113937404757</v>
      </c>
      <c r="Z45" s="13">
        <f t="shared" si="12"/>
        <v>0</v>
      </c>
      <c r="AA45" s="22">
        <f t="shared" si="13"/>
        <v>0.021409090376274763</v>
      </c>
      <c r="AB45" s="26">
        <f t="shared" si="2"/>
        <v>0.11503143043959721</v>
      </c>
      <c r="AC45" s="14">
        <f t="shared" si="14"/>
        <v>0</v>
      </c>
      <c r="AD45" s="14">
        <f t="shared" si="15"/>
        <v>0.0014630783325662055</v>
      </c>
      <c r="AE45" s="14">
        <f t="shared" si="16"/>
        <v>0</v>
      </c>
      <c r="AF45" s="27">
        <f t="shared" si="17"/>
        <v>0.11649450877216343</v>
      </c>
    </row>
    <row r="46" spans="1:32" ht="15">
      <c r="A46" s="4">
        <v>1968</v>
      </c>
      <c r="B46" s="3">
        <v>47288000</v>
      </c>
      <c r="C46" s="3">
        <v>8767081.200000001</v>
      </c>
      <c r="D46" s="3">
        <f t="shared" si="0"/>
        <v>1797798.5999999999</v>
      </c>
      <c r="G46" s="40">
        <f t="shared" si="1"/>
        <v>1568031.0999999999</v>
      </c>
      <c r="I46" s="40">
        <v>1568031.0999999999</v>
      </c>
      <c r="N46" s="40">
        <v>0</v>
      </c>
      <c r="O46" s="36">
        <f t="shared" si="7"/>
        <v>229767.5</v>
      </c>
      <c r="P46" s="40">
        <v>208965.5</v>
      </c>
      <c r="Q46" s="42">
        <v>20802</v>
      </c>
      <c r="R46" s="42"/>
      <c r="S46" s="42"/>
      <c r="T46" s="42"/>
      <c r="U46" s="42"/>
      <c r="V46" s="34">
        <f t="shared" si="8"/>
        <v>0</v>
      </c>
      <c r="W46" s="21">
        <f t="shared" si="9"/>
        <v>0.03315917568939265</v>
      </c>
      <c r="X46" s="13">
        <f t="shared" si="10"/>
        <v>0</v>
      </c>
      <c r="Y46" s="13">
        <f t="shared" si="11"/>
        <v>0.004858896548807308</v>
      </c>
      <c r="Z46" s="13">
        <f t="shared" si="12"/>
        <v>0</v>
      </c>
      <c r="AA46" s="22">
        <f t="shared" si="13"/>
        <v>0.03801807223819997</v>
      </c>
      <c r="AB46" s="26">
        <f t="shared" si="2"/>
        <v>0.17885440595668256</v>
      </c>
      <c r="AC46" s="14">
        <f t="shared" si="14"/>
        <v>0</v>
      </c>
      <c r="AD46" s="14">
        <f t="shared" si="15"/>
        <v>0.026207981283440145</v>
      </c>
      <c r="AE46" s="14">
        <f t="shared" si="16"/>
        <v>0</v>
      </c>
      <c r="AF46" s="27">
        <f t="shared" si="17"/>
        <v>0.2050623872401227</v>
      </c>
    </row>
    <row r="47" spans="1:32" ht="15">
      <c r="A47" s="4">
        <v>1969</v>
      </c>
      <c r="B47" s="3">
        <v>68601000</v>
      </c>
      <c r="C47" s="3">
        <v>12961665.3</v>
      </c>
      <c r="D47" s="3">
        <f t="shared" si="0"/>
        <v>3673971.8</v>
      </c>
      <c r="G47" s="40">
        <f t="shared" si="1"/>
        <v>3339786.9</v>
      </c>
      <c r="I47" s="40">
        <v>3339786.9</v>
      </c>
      <c r="N47" s="40">
        <v>0</v>
      </c>
      <c r="O47" s="36">
        <f t="shared" si="7"/>
        <v>334184.9</v>
      </c>
      <c r="P47" s="40">
        <v>272372</v>
      </c>
      <c r="Q47" s="42">
        <v>61812.9</v>
      </c>
      <c r="R47" s="42"/>
      <c r="S47" s="42"/>
      <c r="T47" s="42"/>
      <c r="U47" s="42"/>
      <c r="V47" s="34">
        <f t="shared" si="8"/>
        <v>0</v>
      </c>
      <c r="W47" s="21">
        <f t="shared" si="9"/>
        <v>0.04868423055057506</v>
      </c>
      <c r="X47" s="13">
        <f t="shared" si="10"/>
        <v>0</v>
      </c>
      <c r="Y47" s="13">
        <f t="shared" si="11"/>
        <v>0.004871428987915628</v>
      </c>
      <c r="Z47" s="13">
        <f t="shared" si="12"/>
        <v>0</v>
      </c>
      <c r="AA47" s="22">
        <f t="shared" si="13"/>
        <v>0.05355565953849069</v>
      </c>
      <c r="AB47" s="26">
        <f t="shared" si="2"/>
        <v>0.25766649752944937</v>
      </c>
      <c r="AC47" s="14">
        <f t="shared" si="14"/>
        <v>0</v>
      </c>
      <c r="AD47" s="14">
        <f t="shared" si="15"/>
        <v>0.02578255897411577</v>
      </c>
      <c r="AE47" s="14">
        <f t="shared" si="16"/>
        <v>0</v>
      </c>
      <c r="AF47" s="27">
        <f t="shared" si="17"/>
        <v>0.28344905650356517</v>
      </c>
    </row>
    <row r="48" spans="1:32" ht="15">
      <c r="A48" s="4">
        <v>1970</v>
      </c>
      <c r="B48" s="3">
        <v>98417000</v>
      </c>
      <c r="C48" s="3">
        <v>18336300.700000003</v>
      </c>
      <c r="D48" s="3">
        <f t="shared" si="0"/>
        <v>5152695</v>
      </c>
      <c r="G48" s="40">
        <f t="shared" si="1"/>
        <v>4365526.8</v>
      </c>
      <c r="I48" s="40">
        <v>4365526.8</v>
      </c>
      <c r="N48" s="40">
        <v>0</v>
      </c>
      <c r="O48" s="36">
        <f t="shared" si="7"/>
        <v>787168.2</v>
      </c>
      <c r="P48" s="40">
        <v>437338</v>
      </c>
      <c r="Q48" s="42">
        <v>83515.8</v>
      </c>
      <c r="R48" s="42">
        <v>266314.4</v>
      </c>
      <c r="S48" s="42"/>
      <c r="T48" s="42"/>
      <c r="U48" s="42"/>
      <c r="V48" s="34">
        <f t="shared" si="8"/>
        <v>0</v>
      </c>
      <c r="W48" s="21">
        <f t="shared" si="9"/>
        <v>0.0443574463761342</v>
      </c>
      <c r="X48" s="13">
        <f t="shared" si="10"/>
        <v>0</v>
      </c>
      <c r="Y48" s="13">
        <f t="shared" si="11"/>
        <v>0.007998295010008432</v>
      </c>
      <c r="Z48" s="13">
        <f t="shared" si="12"/>
        <v>0</v>
      </c>
      <c r="AA48" s="22">
        <f t="shared" si="13"/>
        <v>0.052355741386142636</v>
      </c>
      <c r="AB48" s="26">
        <f t="shared" si="2"/>
        <v>0.23808110869385987</v>
      </c>
      <c r="AC48" s="14">
        <f t="shared" si="14"/>
        <v>0</v>
      </c>
      <c r="AD48" s="14">
        <f t="shared" si="15"/>
        <v>0.042929498860149025</v>
      </c>
      <c r="AE48" s="14">
        <f t="shared" si="16"/>
        <v>0</v>
      </c>
      <c r="AF48" s="27">
        <f t="shared" si="17"/>
        <v>0.2810106075540089</v>
      </c>
    </row>
    <row r="49" spans="1:32" ht="15">
      <c r="A49" s="4">
        <v>1971</v>
      </c>
      <c r="B49" s="3">
        <v>126979000</v>
      </c>
      <c r="C49" s="3">
        <v>38645512</v>
      </c>
      <c r="D49" s="3">
        <f t="shared" si="0"/>
        <v>3828492</v>
      </c>
      <c r="G49" s="40">
        <f t="shared" si="1"/>
        <v>2655668</v>
      </c>
      <c r="I49" s="40">
        <v>2655668</v>
      </c>
      <c r="N49" s="40">
        <v>0</v>
      </c>
      <c r="O49" s="36">
        <f t="shared" si="7"/>
        <v>1172824</v>
      </c>
      <c r="P49" s="40">
        <v>565988</v>
      </c>
      <c r="Q49" s="42">
        <v>1994</v>
      </c>
      <c r="R49" s="42">
        <v>604842</v>
      </c>
      <c r="S49" s="42"/>
      <c r="T49" s="42"/>
      <c r="U49" s="42"/>
      <c r="V49" s="34">
        <f t="shared" si="8"/>
        <v>0</v>
      </c>
      <c r="W49" s="21">
        <f t="shared" si="9"/>
        <v>0.0209142299120327</v>
      </c>
      <c r="X49" s="13">
        <f t="shared" si="10"/>
        <v>0</v>
      </c>
      <c r="Y49" s="13">
        <f t="shared" si="11"/>
        <v>0.009236361918112444</v>
      </c>
      <c r="Z49" s="13">
        <f t="shared" si="12"/>
        <v>0</v>
      </c>
      <c r="AA49" s="22">
        <f t="shared" si="13"/>
        <v>0.03015059183014514</v>
      </c>
      <c r="AB49" s="26">
        <f t="shared" si="2"/>
        <v>0.06871866518420043</v>
      </c>
      <c r="AC49" s="14">
        <f t="shared" si="14"/>
        <v>0</v>
      </c>
      <c r="AD49" s="14">
        <f t="shared" si="15"/>
        <v>0.030348258809457615</v>
      </c>
      <c r="AE49" s="14">
        <f t="shared" si="16"/>
        <v>0</v>
      </c>
      <c r="AF49" s="27">
        <f t="shared" si="17"/>
        <v>0.09906692399365805</v>
      </c>
    </row>
    <row r="50" spans="1:32" ht="15">
      <c r="A50" s="4">
        <v>1972</v>
      </c>
      <c r="B50" s="3">
        <v>234491000</v>
      </c>
      <c r="C50" s="3">
        <v>110153499</v>
      </c>
      <c r="D50" s="3">
        <f t="shared" si="0"/>
        <v>4782608</v>
      </c>
      <c r="G50" s="40">
        <f t="shared" si="1"/>
        <v>3720545</v>
      </c>
      <c r="I50" s="40">
        <v>3720545</v>
      </c>
      <c r="N50" s="40">
        <v>0</v>
      </c>
      <c r="O50" s="36">
        <f t="shared" si="7"/>
        <v>1062063</v>
      </c>
      <c r="P50" s="40">
        <v>972167</v>
      </c>
      <c r="Q50" s="42">
        <v>35612</v>
      </c>
      <c r="R50" s="42">
        <v>54284</v>
      </c>
      <c r="S50" s="42"/>
      <c r="T50" s="42"/>
      <c r="U50" s="42"/>
      <c r="V50" s="34">
        <f t="shared" si="8"/>
        <v>0</v>
      </c>
      <c r="W50" s="21">
        <f t="shared" si="9"/>
        <v>0.015866472487216992</v>
      </c>
      <c r="X50" s="13">
        <f aca="true" t="shared" si="18" ref="X50:X81">+N50/$B50</f>
        <v>0</v>
      </c>
      <c r="Y50" s="13">
        <f aca="true" t="shared" si="19" ref="Y50:Y81">+O50/$B50</f>
        <v>0.00452922713451689</v>
      </c>
      <c r="Z50" s="13">
        <f aca="true" t="shared" si="20" ref="Z50:Z81">+S50/$B50</f>
        <v>0</v>
      </c>
      <c r="AA50" s="22">
        <f aca="true" t="shared" si="21" ref="AA50:AA81">+D50/$B50</f>
        <v>0.020395699621733883</v>
      </c>
      <c r="AB50" s="26">
        <f t="shared" si="2"/>
        <v>0.03377600379267117</v>
      </c>
      <c r="AC50" s="14">
        <f t="shared" si="14"/>
        <v>0</v>
      </c>
      <c r="AD50" s="14">
        <f t="shared" si="15"/>
        <v>0.009641663765941742</v>
      </c>
      <c r="AE50" s="14">
        <f t="shared" si="16"/>
        <v>0</v>
      </c>
      <c r="AF50" s="27">
        <f t="shared" si="17"/>
        <v>0.04341766755861291</v>
      </c>
    </row>
    <row r="51" spans="1:32" ht="15">
      <c r="A51" s="4">
        <v>1973</v>
      </c>
      <c r="B51" s="3">
        <v>1147000000</v>
      </c>
      <c r="C51" s="3">
        <v>1091888749</v>
      </c>
      <c r="D51" s="3">
        <f t="shared" si="0"/>
        <v>102522114</v>
      </c>
      <c r="G51" s="40">
        <f t="shared" si="1"/>
        <v>65267499</v>
      </c>
      <c r="I51" s="40">
        <v>65267499</v>
      </c>
      <c r="N51" s="40">
        <v>359993</v>
      </c>
      <c r="O51" s="36">
        <f t="shared" si="7"/>
        <v>36894622</v>
      </c>
      <c r="P51" s="40">
        <v>14670646</v>
      </c>
      <c r="Q51" s="42">
        <v>22096178</v>
      </c>
      <c r="R51" s="42">
        <v>127798</v>
      </c>
      <c r="S51" s="42"/>
      <c r="T51" s="42"/>
      <c r="U51" s="42"/>
      <c r="V51" s="34">
        <f t="shared" si="8"/>
        <v>0</v>
      </c>
      <c r="W51" s="21">
        <f t="shared" si="9"/>
        <v>0.05690278901482127</v>
      </c>
      <c r="X51" s="13">
        <f t="shared" si="18"/>
        <v>0.00031385614646904967</v>
      </c>
      <c r="Y51" s="13">
        <f t="shared" si="19"/>
        <v>0.032166191804707936</v>
      </c>
      <c r="Z51" s="13">
        <f t="shared" si="20"/>
        <v>0</v>
      </c>
      <c r="AA51" s="22">
        <f t="shared" si="21"/>
        <v>0.08938283696599826</v>
      </c>
      <c r="AB51" s="26">
        <f t="shared" si="2"/>
        <v>0.05977486173364719</v>
      </c>
      <c r="AC51" s="14">
        <f t="shared" si="14"/>
        <v>0.0003296975084043109</v>
      </c>
      <c r="AD51" s="14">
        <f t="shared" si="15"/>
        <v>0.03378972631945308</v>
      </c>
      <c r="AE51" s="14">
        <f t="shared" si="16"/>
        <v>0</v>
      </c>
      <c r="AF51" s="27">
        <f t="shared" si="17"/>
        <v>0.09389428556150459</v>
      </c>
    </row>
    <row r="52" spans="1:32" ht="15">
      <c r="A52" s="4">
        <v>1974</v>
      </c>
      <c r="B52" s="3">
        <v>9199000000</v>
      </c>
      <c r="C52" s="3">
        <v>5492509292</v>
      </c>
      <c r="D52" s="3">
        <f t="shared" si="0"/>
        <v>517835049</v>
      </c>
      <c r="G52" s="40">
        <f t="shared" si="1"/>
        <v>166595107</v>
      </c>
      <c r="I52" s="40">
        <v>166595107</v>
      </c>
      <c r="N52" s="40">
        <v>628702</v>
      </c>
      <c r="O52" s="36">
        <f t="shared" si="7"/>
        <v>350611240</v>
      </c>
      <c r="P52" s="40">
        <v>72589402</v>
      </c>
      <c r="Q52" s="42">
        <v>249796737</v>
      </c>
      <c r="R52" s="42">
        <v>28225101</v>
      </c>
      <c r="S52" s="42"/>
      <c r="T52" s="42"/>
      <c r="U52" s="42"/>
      <c r="V52" s="34">
        <f t="shared" si="8"/>
        <v>0</v>
      </c>
      <c r="W52" s="21">
        <f t="shared" si="9"/>
        <v>0.018110132296988803</v>
      </c>
      <c r="X52" s="13">
        <f t="shared" si="18"/>
        <v>6.834460267420372E-05</v>
      </c>
      <c r="Y52" s="13">
        <f t="shared" si="19"/>
        <v>0.03811406022393739</v>
      </c>
      <c r="Z52" s="13">
        <f t="shared" si="20"/>
        <v>0</v>
      </c>
      <c r="AA52" s="22">
        <f t="shared" si="21"/>
        <v>0.05629253712360039</v>
      </c>
      <c r="AB52" s="26">
        <f t="shared" si="2"/>
        <v>0.030331329114481543</v>
      </c>
      <c r="AC52" s="14">
        <f t="shared" si="14"/>
        <v>0.00011446535027546022</v>
      </c>
      <c r="AD52" s="14">
        <f t="shared" si="15"/>
        <v>0.06383443729638756</v>
      </c>
      <c r="AE52" s="14">
        <f t="shared" si="16"/>
        <v>0</v>
      </c>
      <c r="AF52" s="27">
        <f t="shared" si="17"/>
        <v>0.09428023176114456</v>
      </c>
    </row>
    <row r="53" spans="1:32" ht="15">
      <c r="A53" s="4">
        <v>1975</v>
      </c>
      <c r="B53" s="3">
        <v>35447000000</v>
      </c>
      <c r="C53" s="3">
        <v>28573325692</v>
      </c>
      <c r="D53" s="3">
        <f t="shared" si="0"/>
        <v>2002881773</v>
      </c>
      <c r="G53" s="40">
        <f t="shared" si="1"/>
        <v>731609774</v>
      </c>
      <c r="I53" s="40">
        <v>731609774</v>
      </c>
      <c r="N53" s="40">
        <v>2776386</v>
      </c>
      <c r="O53" s="36">
        <f t="shared" si="7"/>
        <v>1268495613</v>
      </c>
      <c r="P53" s="40">
        <v>367231382</v>
      </c>
      <c r="Q53" s="42">
        <v>692946879</v>
      </c>
      <c r="R53" s="42">
        <v>208317352</v>
      </c>
      <c r="S53" s="42"/>
      <c r="T53" s="42"/>
      <c r="U53" s="42"/>
      <c r="V53" s="34">
        <f t="shared" si="8"/>
        <v>0</v>
      </c>
      <c r="W53" s="21">
        <f t="shared" si="9"/>
        <v>0.02063953998927977</v>
      </c>
      <c r="X53" s="13">
        <f t="shared" si="18"/>
        <v>7.832499224193867E-05</v>
      </c>
      <c r="Y53" s="13">
        <f t="shared" si="19"/>
        <v>0.035785697322763564</v>
      </c>
      <c r="Z53" s="13">
        <f t="shared" si="20"/>
        <v>0</v>
      </c>
      <c r="AA53" s="22">
        <f t="shared" si="21"/>
        <v>0.05650356230428527</v>
      </c>
      <c r="AB53" s="26">
        <f t="shared" si="2"/>
        <v>0.02560464196174536</v>
      </c>
      <c r="AC53" s="14">
        <f t="shared" si="14"/>
        <v>9.716705818312695E-05</v>
      </c>
      <c r="AD53" s="14">
        <f t="shared" si="15"/>
        <v>0.044394398701553844</v>
      </c>
      <c r="AE53" s="14">
        <f t="shared" si="16"/>
        <v>0</v>
      </c>
      <c r="AF53" s="27">
        <f t="shared" si="17"/>
        <v>0.07009620772148234</v>
      </c>
    </row>
    <row r="54" spans="1:32" ht="15">
      <c r="A54" s="4">
        <v>1976</v>
      </c>
      <c r="B54" s="3">
        <v>128676000000</v>
      </c>
      <c r="C54" s="3">
        <v>100091479759</v>
      </c>
      <c r="D54" s="3">
        <f t="shared" si="0"/>
        <v>11427454282</v>
      </c>
      <c r="G54" s="40">
        <f t="shared" si="1"/>
        <v>6959179675</v>
      </c>
      <c r="I54" s="40">
        <v>6959179675</v>
      </c>
      <c r="N54" s="40">
        <v>139791452</v>
      </c>
      <c r="O54" s="36">
        <f t="shared" si="7"/>
        <v>4328483155</v>
      </c>
      <c r="P54" s="40">
        <v>752733743</v>
      </c>
      <c r="Q54" s="42">
        <v>2601884449</v>
      </c>
      <c r="R54" s="42">
        <v>973864963</v>
      </c>
      <c r="S54" s="42"/>
      <c r="T54" s="42"/>
      <c r="U54" s="42"/>
      <c r="V54" s="34">
        <f t="shared" si="8"/>
        <v>0</v>
      </c>
      <c r="W54" s="21">
        <f t="shared" si="9"/>
        <v>0.054082965549131154</v>
      </c>
      <c r="X54" s="13">
        <f t="shared" si="18"/>
        <v>0.0010863832571730548</v>
      </c>
      <c r="Y54" s="13">
        <f t="shared" si="19"/>
        <v>0.03363862068295564</v>
      </c>
      <c r="Z54" s="13">
        <f t="shared" si="20"/>
        <v>0</v>
      </c>
      <c r="AA54" s="22">
        <f t="shared" si="21"/>
        <v>0.08880796948925984</v>
      </c>
      <c r="AB54" s="26">
        <f t="shared" si="2"/>
        <v>0.0695281925270392</v>
      </c>
      <c r="AC54" s="14">
        <f t="shared" si="14"/>
        <v>0.0013966368799481184</v>
      </c>
      <c r="AD54" s="14">
        <f t="shared" si="15"/>
        <v>0.0432452708804197</v>
      </c>
      <c r="AE54" s="14">
        <f t="shared" si="16"/>
        <v>0</v>
      </c>
      <c r="AF54" s="27">
        <f t="shared" si="17"/>
        <v>0.11417010028740703</v>
      </c>
    </row>
    <row r="55" spans="1:32" ht="15">
      <c r="A55" s="4">
        <v>1977</v>
      </c>
      <c r="B55" s="3">
        <v>287770000000</v>
      </c>
      <c r="C55" s="3">
        <v>193542508392</v>
      </c>
      <c r="D55" s="3">
        <f t="shared" si="0"/>
        <v>20063981947</v>
      </c>
      <c r="G55" s="40">
        <f t="shared" si="1"/>
        <v>11291000489</v>
      </c>
      <c r="I55" s="40">
        <v>11291000489</v>
      </c>
      <c r="N55" s="40">
        <v>496152549</v>
      </c>
      <c r="O55" s="36">
        <f t="shared" si="7"/>
        <v>8276828909</v>
      </c>
      <c r="P55" s="40">
        <v>1208137221</v>
      </c>
      <c r="Q55" s="42">
        <v>5218653788</v>
      </c>
      <c r="R55" s="42">
        <v>1850037900</v>
      </c>
      <c r="S55" s="42"/>
      <c r="T55" s="42"/>
      <c r="U55" s="42"/>
      <c r="V55" s="34">
        <f t="shared" si="8"/>
        <v>0</v>
      </c>
      <c r="W55" s="21">
        <f t="shared" si="9"/>
        <v>0.039236197272127044</v>
      </c>
      <c r="X55" s="13">
        <f t="shared" si="18"/>
        <v>0.0017241288146783889</v>
      </c>
      <c r="Y55" s="13">
        <f t="shared" si="19"/>
        <v>0.028761958887305834</v>
      </c>
      <c r="Z55" s="13">
        <f t="shared" si="20"/>
        <v>0</v>
      </c>
      <c r="AA55" s="22">
        <f t="shared" si="21"/>
        <v>0.06972228497411127</v>
      </c>
      <c r="AB55" s="26">
        <f t="shared" si="2"/>
        <v>0.05833860779633622</v>
      </c>
      <c r="AC55" s="14">
        <f t="shared" si="14"/>
        <v>0.002563532699468249</v>
      </c>
      <c r="AD55" s="14">
        <f t="shared" si="15"/>
        <v>0.04276491494176645</v>
      </c>
      <c r="AE55" s="14">
        <f t="shared" si="16"/>
        <v>0</v>
      </c>
      <c r="AF55" s="27">
        <f t="shared" si="17"/>
        <v>0.10366705543757093</v>
      </c>
    </row>
    <row r="56" spans="1:32" ht="15">
      <c r="A56" s="4">
        <v>1978</v>
      </c>
      <c r="B56" s="3">
        <v>487506000000</v>
      </c>
      <c r="C56" s="3">
        <v>336343004488</v>
      </c>
      <c r="D56" s="3">
        <f t="shared" si="0"/>
        <v>47846405290</v>
      </c>
      <c r="G56" s="40">
        <f t="shared" si="1"/>
        <v>36312452553</v>
      </c>
      <c r="I56" s="40">
        <v>36312452553</v>
      </c>
      <c r="N56" s="40">
        <v>1400032742</v>
      </c>
      <c r="O56" s="36">
        <f t="shared" si="7"/>
        <v>10133919995</v>
      </c>
      <c r="P56" s="40">
        <v>1581544408</v>
      </c>
      <c r="Q56" s="42">
        <v>7699302182</v>
      </c>
      <c r="R56" s="42">
        <v>853073405</v>
      </c>
      <c r="S56" s="42"/>
      <c r="T56" s="42"/>
      <c r="U56" s="42"/>
      <c r="V56" s="34">
        <f t="shared" si="8"/>
        <v>0</v>
      </c>
      <c r="W56" s="21">
        <f t="shared" si="9"/>
        <v>0.07448616540719499</v>
      </c>
      <c r="X56" s="13">
        <f t="shared" si="18"/>
        <v>0.002871826689312542</v>
      </c>
      <c r="Y56" s="13">
        <f t="shared" si="19"/>
        <v>0.020787272351519778</v>
      </c>
      <c r="Z56" s="13">
        <f t="shared" si="20"/>
        <v>0</v>
      </c>
      <c r="AA56" s="22">
        <f t="shared" si="21"/>
        <v>0.0981452644480273</v>
      </c>
      <c r="AB56" s="26">
        <f t="shared" si="2"/>
        <v>0.1079625622310083</v>
      </c>
      <c r="AC56" s="14">
        <f t="shared" si="14"/>
        <v>0.004162514823613494</v>
      </c>
      <c r="AD56" s="14">
        <f t="shared" si="15"/>
        <v>0.030129718352330283</v>
      </c>
      <c r="AE56" s="14">
        <f t="shared" si="16"/>
        <v>0</v>
      </c>
      <c r="AF56" s="27">
        <f t="shared" si="17"/>
        <v>0.14225479540695207</v>
      </c>
    </row>
    <row r="57" spans="1:32" ht="15">
      <c r="A57" s="4">
        <v>1979</v>
      </c>
      <c r="B57" s="3">
        <v>772200000000</v>
      </c>
      <c r="C57" s="3">
        <v>525750307000</v>
      </c>
      <c r="D57" s="3">
        <f t="shared" si="0"/>
        <v>121399359000</v>
      </c>
      <c r="G57" s="40">
        <f t="shared" si="1"/>
        <v>83792908000</v>
      </c>
      <c r="I57" s="40">
        <v>83792908000</v>
      </c>
      <c r="N57" s="40">
        <v>15859838000</v>
      </c>
      <c r="O57" s="36">
        <f t="shared" si="7"/>
        <v>14380094000</v>
      </c>
      <c r="P57" s="40">
        <v>1841547000</v>
      </c>
      <c r="Q57" s="42">
        <v>11557891000</v>
      </c>
      <c r="R57" s="42">
        <v>980656000</v>
      </c>
      <c r="S57" s="42">
        <f aca="true" t="shared" si="22" ref="S57:S86">SUM(U57:U57)</f>
        <v>7366519000</v>
      </c>
      <c r="T57" s="42"/>
      <c r="U57" s="42">
        <v>7366519000</v>
      </c>
      <c r="V57" s="34">
        <f t="shared" si="8"/>
        <v>0</v>
      </c>
      <c r="W57" s="21">
        <f t="shared" si="9"/>
        <v>0.10851192437192438</v>
      </c>
      <c r="X57" s="13">
        <f t="shared" si="18"/>
        <v>0.02053851074851075</v>
      </c>
      <c r="Y57" s="13">
        <f t="shared" si="19"/>
        <v>0.018622240352240353</v>
      </c>
      <c r="Z57" s="13">
        <f t="shared" si="20"/>
        <v>0.009539651644651644</v>
      </c>
      <c r="AA57" s="22">
        <f t="shared" si="21"/>
        <v>0.1572123271173271</v>
      </c>
      <c r="AB57" s="26">
        <f t="shared" si="2"/>
        <v>0.15937776333053097</v>
      </c>
      <c r="AC57" s="14">
        <f t="shared" si="14"/>
        <v>0.030166103165014415</v>
      </c>
      <c r="AD57" s="14">
        <f t="shared" si="15"/>
        <v>0.027351565578829038</v>
      </c>
      <c r="AE57" s="14">
        <f t="shared" si="16"/>
        <v>0.014011440225369189</v>
      </c>
      <c r="AF57" s="27">
        <f t="shared" si="17"/>
        <v>0.2309068722997436</v>
      </c>
    </row>
    <row r="58" spans="1:32" ht="15">
      <c r="A58" s="4">
        <v>1980</v>
      </c>
      <c r="B58" s="3">
        <v>1075557000000</v>
      </c>
      <c r="C58" s="3">
        <v>632038550000</v>
      </c>
      <c r="D58" s="3">
        <f t="shared" si="0"/>
        <v>179429880000</v>
      </c>
      <c r="G58" s="40">
        <f t="shared" si="1"/>
        <v>134700029000</v>
      </c>
      <c r="I58" s="40">
        <v>134700029000</v>
      </c>
      <c r="N58" s="40">
        <v>18604899000</v>
      </c>
      <c r="O58" s="36">
        <f t="shared" si="7"/>
        <v>17837518000</v>
      </c>
      <c r="P58" s="40">
        <v>3133177000</v>
      </c>
      <c r="Q58" s="42">
        <v>13507423000</v>
      </c>
      <c r="R58" s="42">
        <v>1196918000</v>
      </c>
      <c r="S58" s="42">
        <f t="shared" si="22"/>
        <v>8287434000</v>
      </c>
      <c r="T58" s="42"/>
      <c r="U58" s="42">
        <v>8287434000</v>
      </c>
      <c r="V58" s="34">
        <f t="shared" si="8"/>
        <v>0</v>
      </c>
      <c r="W58" s="21">
        <f t="shared" si="9"/>
        <v>0.12523746207778852</v>
      </c>
      <c r="X58" s="13">
        <f t="shared" si="18"/>
        <v>0.01729792005444621</v>
      </c>
      <c r="Y58" s="13">
        <f t="shared" si="19"/>
        <v>0.016584446942374972</v>
      </c>
      <c r="Z58" s="13">
        <f t="shared" si="20"/>
        <v>0.007705248536339775</v>
      </c>
      <c r="AA58" s="22">
        <f t="shared" si="21"/>
        <v>0.1668250776109495</v>
      </c>
      <c r="AB58" s="26">
        <f t="shared" si="2"/>
        <v>0.2131199576354955</v>
      </c>
      <c r="AC58" s="14">
        <f t="shared" si="14"/>
        <v>0.029436335805782733</v>
      </c>
      <c r="AD58" s="14">
        <f t="shared" si="15"/>
        <v>0.028222199421222012</v>
      </c>
      <c r="AE58" s="14">
        <f t="shared" si="16"/>
        <v>0.013112228676557782</v>
      </c>
      <c r="AF58" s="27">
        <f t="shared" si="17"/>
        <v>0.28389072153905803</v>
      </c>
    </row>
    <row r="59" spans="1:32" ht="15">
      <c r="A59" s="4">
        <v>1981</v>
      </c>
      <c r="B59" s="3">
        <v>1289621000000</v>
      </c>
      <c r="C59" s="3">
        <v>349371100000</v>
      </c>
      <c r="D59" s="3">
        <f t="shared" si="0"/>
        <v>161123600000</v>
      </c>
      <c r="G59" s="40">
        <f t="shared" si="1"/>
        <v>132965200000.00002</v>
      </c>
      <c r="I59" s="40">
        <v>132965200000.00002</v>
      </c>
      <c r="N59" s="40">
        <v>245300000</v>
      </c>
      <c r="O59" s="36">
        <f t="shared" si="7"/>
        <v>13645500000</v>
      </c>
      <c r="P59" s="40">
        <v>2851800000</v>
      </c>
      <c r="Q59" s="42">
        <v>10049000000</v>
      </c>
      <c r="R59" s="42">
        <v>744700000</v>
      </c>
      <c r="S59" s="42">
        <f t="shared" si="22"/>
        <v>14267600000</v>
      </c>
      <c r="T59" s="42"/>
      <c r="U59" s="42">
        <v>14267600000</v>
      </c>
      <c r="V59" s="34">
        <f t="shared" si="8"/>
        <v>0</v>
      </c>
      <c r="W59" s="21">
        <f t="shared" si="9"/>
        <v>0.10310409027148287</v>
      </c>
      <c r="X59" s="13">
        <f t="shared" si="18"/>
        <v>0.0001902109224338003</v>
      </c>
      <c r="Y59" s="13">
        <f t="shared" si="19"/>
        <v>0.010581015662741224</v>
      </c>
      <c r="Z59" s="13">
        <f t="shared" si="20"/>
        <v>0.01106340545012837</v>
      </c>
      <c r="AA59" s="22">
        <f t="shared" si="21"/>
        <v>0.12493872230678625</v>
      </c>
      <c r="AB59" s="26">
        <f t="shared" si="2"/>
        <v>0.3805844272751811</v>
      </c>
      <c r="AC59" s="14">
        <f t="shared" si="14"/>
        <v>0.000702118749948121</v>
      </c>
      <c r="AD59" s="14">
        <f t="shared" si="15"/>
        <v>0.039057323287472835</v>
      </c>
      <c r="AE59" s="14">
        <f t="shared" si="16"/>
        <v>0.040837951393232014</v>
      </c>
      <c r="AF59" s="27">
        <f t="shared" si="17"/>
        <v>0.461181820705834</v>
      </c>
    </row>
    <row r="60" spans="1:32" ht="15">
      <c r="A60" s="4">
        <v>1982</v>
      </c>
      <c r="B60" s="3">
        <v>1202808000000</v>
      </c>
      <c r="C60" s="3">
        <v>640425200000</v>
      </c>
      <c r="D60" s="3">
        <f t="shared" si="0"/>
        <v>220276100000</v>
      </c>
      <c r="G60" s="40">
        <f t="shared" si="1"/>
        <v>163525100000</v>
      </c>
      <c r="I60" s="40">
        <v>163525100000</v>
      </c>
      <c r="N60" s="40">
        <v>831200000</v>
      </c>
      <c r="O60" s="36">
        <f t="shared" si="7"/>
        <v>45652600000</v>
      </c>
      <c r="P60" s="40">
        <v>26459600000</v>
      </c>
      <c r="Q60" s="42">
        <v>17758000000</v>
      </c>
      <c r="R60" s="42">
        <v>1435000000</v>
      </c>
      <c r="S60" s="42">
        <f t="shared" si="22"/>
        <v>10267200000</v>
      </c>
      <c r="T60" s="42"/>
      <c r="U60" s="42">
        <v>10267200000</v>
      </c>
      <c r="V60" s="34">
        <f t="shared" si="8"/>
        <v>0</v>
      </c>
      <c r="W60" s="21">
        <f t="shared" si="9"/>
        <v>0.13595278714474796</v>
      </c>
      <c r="X60" s="13">
        <f t="shared" si="18"/>
        <v>0.0006910496105779143</v>
      </c>
      <c r="Y60" s="13">
        <f t="shared" si="19"/>
        <v>0.03795501858983313</v>
      </c>
      <c r="Z60" s="13">
        <f t="shared" si="20"/>
        <v>0.008536025699862322</v>
      </c>
      <c r="AA60" s="22">
        <f t="shared" si="21"/>
        <v>0.18313488104502132</v>
      </c>
      <c r="AB60" s="26">
        <f t="shared" si="2"/>
        <v>0.2553383283481037</v>
      </c>
      <c r="AC60" s="14">
        <f t="shared" si="14"/>
        <v>0.001297887715848783</v>
      </c>
      <c r="AD60" s="14">
        <f t="shared" si="15"/>
        <v>0.07128482764263493</v>
      </c>
      <c r="AE60" s="14">
        <f t="shared" si="16"/>
        <v>0.016031848840426643</v>
      </c>
      <c r="AF60" s="27">
        <f t="shared" si="17"/>
        <v>0.34395289254701406</v>
      </c>
    </row>
    <row r="61" spans="1:32" ht="15">
      <c r="A61" s="4">
        <v>1983</v>
      </c>
      <c r="B61" s="3">
        <v>1535676000000</v>
      </c>
      <c r="C61" s="3">
        <v>1456786200000</v>
      </c>
      <c r="D61" s="3">
        <f t="shared" si="0"/>
        <v>282792600000</v>
      </c>
      <c r="G61" s="40">
        <f t="shared" si="1"/>
        <v>215331600000</v>
      </c>
      <c r="I61" s="40">
        <v>215331600000</v>
      </c>
      <c r="N61" s="40">
        <v>3511600000</v>
      </c>
      <c r="O61" s="36">
        <f t="shared" si="7"/>
        <v>54852500000</v>
      </c>
      <c r="P61" s="40">
        <v>40358100000</v>
      </c>
      <c r="Q61" s="42">
        <v>14021400000</v>
      </c>
      <c r="R61" s="42">
        <v>473000000</v>
      </c>
      <c r="S61" s="42">
        <f t="shared" si="22"/>
        <v>9096900000</v>
      </c>
      <c r="T61" s="42"/>
      <c r="U61" s="42">
        <v>9096900000</v>
      </c>
      <c r="V61" s="34">
        <f t="shared" si="8"/>
        <v>0</v>
      </c>
      <c r="W61" s="21">
        <f t="shared" si="9"/>
        <v>0.14021942128417714</v>
      </c>
      <c r="X61" s="13">
        <f t="shared" si="18"/>
        <v>0.002286680263284703</v>
      </c>
      <c r="Y61" s="13">
        <f t="shared" si="19"/>
        <v>0.03571879745467143</v>
      </c>
      <c r="Z61" s="13">
        <f t="shared" si="20"/>
        <v>0.005923710470177303</v>
      </c>
      <c r="AA61" s="22">
        <f t="shared" si="21"/>
        <v>0.18414860947231057</v>
      </c>
      <c r="AB61" s="26">
        <f t="shared" si="2"/>
        <v>0.14781276758387743</v>
      </c>
      <c r="AC61" s="14">
        <f t="shared" si="14"/>
        <v>0.0024105115767845686</v>
      </c>
      <c r="AD61" s="14">
        <f t="shared" si="15"/>
        <v>0.0376530886961999</v>
      </c>
      <c r="AE61" s="14">
        <f t="shared" si="16"/>
        <v>0.006244499021201601</v>
      </c>
      <c r="AF61" s="27">
        <f t="shared" si="17"/>
        <v>0.1941208668780635</v>
      </c>
    </row>
    <row r="62" spans="1:32" ht="15">
      <c r="A62" s="4">
        <v>1984</v>
      </c>
      <c r="B62" s="3">
        <v>1902702000000</v>
      </c>
      <c r="C62" s="3">
        <v>2426125000000</v>
      </c>
      <c r="D62" s="3">
        <f t="shared" si="0"/>
        <v>445220900000</v>
      </c>
      <c r="G62" s="40">
        <f t="shared" si="1"/>
        <v>301601500000</v>
      </c>
      <c r="I62" s="40">
        <v>301601500000</v>
      </c>
      <c r="N62" s="40">
        <v>2815000000</v>
      </c>
      <c r="O62" s="36">
        <f t="shared" si="7"/>
        <v>83316800000</v>
      </c>
      <c r="P62" s="40">
        <v>55281500000</v>
      </c>
      <c r="Q62" s="42">
        <v>26563600000</v>
      </c>
      <c r="R62" s="42">
        <v>1471700000</v>
      </c>
      <c r="S62" s="42">
        <f t="shared" si="22"/>
        <v>57487600000</v>
      </c>
      <c r="T62" s="42"/>
      <c r="U62" s="42">
        <v>57487600000</v>
      </c>
      <c r="V62" s="34">
        <f t="shared" si="8"/>
        <v>0</v>
      </c>
      <c r="W62" s="21">
        <f t="shared" si="9"/>
        <v>0.15851221053007775</v>
      </c>
      <c r="X62" s="13">
        <f t="shared" si="18"/>
        <v>0.0014794749782151909</v>
      </c>
      <c r="Y62" s="13">
        <f t="shared" si="19"/>
        <v>0.04378867526286302</v>
      </c>
      <c r="Z62" s="13">
        <f t="shared" si="20"/>
        <v>0.030213664567546573</v>
      </c>
      <c r="AA62" s="22">
        <f t="shared" si="21"/>
        <v>0.23399402533870253</v>
      </c>
      <c r="AB62" s="26">
        <f t="shared" si="2"/>
        <v>0.12431408109639858</v>
      </c>
      <c r="AC62" s="14">
        <f t="shared" si="14"/>
        <v>0.0011602864650419908</v>
      </c>
      <c r="AD62" s="14">
        <f t="shared" si="15"/>
        <v>0.03434151166984389</v>
      </c>
      <c r="AE62" s="14">
        <f t="shared" si="16"/>
        <v>0.02369523416971508</v>
      </c>
      <c r="AF62" s="27">
        <f t="shared" si="17"/>
        <v>0.18351111340099954</v>
      </c>
    </row>
    <row r="63" spans="1:32" ht="15">
      <c r="A63" s="4">
        <v>1985</v>
      </c>
      <c r="B63" s="3">
        <v>2741478000000</v>
      </c>
      <c r="C63" s="3">
        <v>4305167400000</v>
      </c>
      <c r="D63" s="3">
        <f t="shared" si="0"/>
        <v>652004300000</v>
      </c>
      <c r="G63" s="40">
        <f t="shared" si="1"/>
        <v>339453600000</v>
      </c>
      <c r="I63" s="40">
        <v>339453600000</v>
      </c>
      <c r="N63" s="40">
        <v>215000000</v>
      </c>
      <c r="O63" s="36">
        <f t="shared" si="7"/>
        <v>117077600000</v>
      </c>
      <c r="P63" s="40">
        <v>86995100000</v>
      </c>
      <c r="Q63" s="42">
        <v>30027600000</v>
      </c>
      <c r="R63" s="42">
        <v>54900000</v>
      </c>
      <c r="S63" s="42">
        <f t="shared" si="22"/>
        <v>195258100000</v>
      </c>
      <c r="T63" s="42"/>
      <c r="U63" s="42">
        <v>195258100000</v>
      </c>
      <c r="V63" s="34">
        <f t="shared" si="8"/>
        <v>0</v>
      </c>
      <c r="W63" s="21">
        <f t="shared" si="9"/>
        <v>0.12382138393961213</v>
      </c>
      <c r="X63" s="13">
        <f t="shared" si="18"/>
        <v>7.842484966138703E-05</v>
      </c>
      <c r="Y63" s="13">
        <f t="shared" si="19"/>
        <v>0.04270601478472561</v>
      </c>
      <c r="Z63" s="13">
        <f t="shared" si="20"/>
        <v>0.0712236611054329</v>
      </c>
      <c r="AA63" s="22">
        <f t="shared" si="21"/>
        <v>0.23782948467943205</v>
      </c>
      <c r="AB63" s="26">
        <f t="shared" si="2"/>
        <v>0.07884794444926811</v>
      </c>
      <c r="AC63" s="14">
        <f t="shared" si="14"/>
        <v>4.9939986073479974E-05</v>
      </c>
      <c r="AD63" s="14">
        <f t="shared" si="15"/>
        <v>0.027194668434960274</v>
      </c>
      <c r="AE63" s="14">
        <f t="shared" si="16"/>
        <v>0.04535435718481005</v>
      </c>
      <c r="AF63" s="27">
        <f t="shared" si="17"/>
        <v>0.1514469100551119</v>
      </c>
    </row>
    <row r="64" spans="1:32" ht="15">
      <c r="A64" s="4">
        <v>1986</v>
      </c>
      <c r="B64" s="3">
        <v>3419209000000</v>
      </c>
      <c r="C64" s="3">
        <v>5107758300000</v>
      </c>
      <c r="D64" s="3">
        <f t="shared" si="0"/>
        <v>772370100000</v>
      </c>
      <c r="G64" s="40">
        <f t="shared" si="1"/>
        <v>267579500000</v>
      </c>
      <c r="I64" s="40">
        <v>267579500000</v>
      </c>
      <c r="N64" s="40">
        <v>897900000</v>
      </c>
      <c r="O64" s="36">
        <f t="shared" si="7"/>
        <v>163314900000</v>
      </c>
      <c r="P64" s="40">
        <v>108284000000</v>
      </c>
      <c r="Q64" s="42">
        <v>54843500000</v>
      </c>
      <c r="R64" s="42">
        <v>187400000</v>
      </c>
      <c r="S64" s="42">
        <f t="shared" si="22"/>
        <v>340577800000</v>
      </c>
      <c r="T64" s="42"/>
      <c r="U64" s="42">
        <v>340577800000</v>
      </c>
      <c r="V64" s="34">
        <f t="shared" si="8"/>
        <v>0</v>
      </c>
      <c r="W64" s="21">
        <f t="shared" si="9"/>
        <v>0.07825771984105095</v>
      </c>
      <c r="X64" s="13">
        <f t="shared" si="18"/>
        <v>0.0002626045965601986</v>
      </c>
      <c r="Y64" s="13">
        <f t="shared" si="19"/>
        <v>0.04776394189416324</v>
      </c>
      <c r="Z64" s="13">
        <f t="shared" si="20"/>
        <v>0.09960718985005011</v>
      </c>
      <c r="AA64" s="22">
        <f t="shared" si="21"/>
        <v>0.22589145618182452</v>
      </c>
      <c r="AB64" s="26">
        <f t="shared" si="2"/>
        <v>0.05238687586293972</v>
      </c>
      <c r="AC64" s="14">
        <f t="shared" si="14"/>
        <v>0.00017579140344209317</v>
      </c>
      <c r="AD64" s="14">
        <f t="shared" si="15"/>
        <v>0.0319738896024113</v>
      </c>
      <c r="AE64" s="14">
        <f t="shared" si="16"/>
        <v>0.06667852705559697</v>
      </c>
      <c r="AF64" s="27">
        <f t="shared" si="17"/>
        <v>0.1512150839243901</v>
      </c>
    </row>
    <row r="65" spans="1:32" ht="15">
      <c r="A65" s="4">
        <v>1987</v>
      </c>
      <c r="B65" s="3">
        <v>4540556000000</v>
      </c>
      <c r="C65" s="3">
        <v>5878814400000</v>
      </c>
      <c r="D65" s="3">
        <f t="shared" si="0"/>
        <v>983819100000</v>
      </c>
      <c r="G65" s="40">
        <f t="shared" si="1"/>
        <v>411031500000</v>
      </c>
      <c r="I65" s="40">
        <v>411031500000</v>
      </c>
      <c r="N65" s="40">
        <v>102900000</v>
      </c>
      <c r="O65" s="36">
        <f t="shared" si="7"/>
        <v>229999600000</v>
      </c>
      <c r="P65" s="40">
        <v>144650200000</v>
      </c>
      <c r="Q65" s="42">
        <v>75995100000</v>
      </c>
      <c r="R65" s="42">
        <v>9354300000</v>
      </c>
      <c r="S65" s="42">
        <f t="shared" si="22"/>
        <v>342685100000</v>
      </c>
      <c r="T65" s="42"/>
      <c r="U65" s="42">
        <v>342685100000</v>
      </c>
      <c r="V65" s="34">
        <f t="shared" si="8"/>
        <v>0</v>
      </c>
      <c r="W65" s="21">
        <f t="shared" si="9"/>
        <v>0.0905244864285343</v>
      </c>
      <c r="X65" s="13">
        <f t="shared" si="18"/>
        <v>2.2662422839846044E-05</v>
      </c>
      <c r="Y65" s="13">
        <f t="shared" si="19"/>
        <v>0.050654501343007335</v>
      </c>
      <c r="Z65" s="13">
        <f t="shared" si="20"/>
        <v>0.07547205672609257</v>
      </c>
      <c r="AA65" s="22">
        <f t="shared" si="21"/>
        <v>0.21667370692047405</v>
      </c>
      <c r="AB65" s="26">
        <f t="shared" si="2"/>
        <v>0.06991741396020258</v>
      </c>
      <c r="AC65" s="14">
        <f t="shared" si="14"/>
        <v>1.7503529283047276E-05</v>
      </c>
      <c r="AD65" s="14">
        <f t="shared" si="15"/>
        <v>0.039123466799700295</v>
      </c>
      <c r="AE65" s="14">
        <f t="shared" si="16"/>
        <v>0.058291532387891</v>
      </c>
      <c r="AF65" s="27">
        <f t="shared" si="17"/>
        <v>0.16734991667707694</v>
      </c>
    </row>
    <row r="66" spans="1:32" ht="15">
      <c r="A66" s="4">
        <v>1988</v>
      </c>
      <c r="B66" s="3">
        <v>5917879000000</v>
      </c>
      <c r="C66" s="3">
        <v>6378964700000</v>
      </c>
      <c r="D66" s="3">
        <f t="shared" si="0"/>
        <v>1203688400000</v>
      </c>
      <c r="G66" s="40">
        <f>+J66+K66+M66+L66+I66</f>
        <v>508656800000</v>
      </c>
      <c r="I66" s="40">
        <v>508656800000</v>
      </c>
      <c r="N66" s="40">
        <v>95800000</v>
      </c>
      <c r="O66" s="36">
        <f t="shared" si="7"/>
        <v>255920200000</v>
      </c>
      <c r="P66" s="40">
        <v>147994400000</v>
      </c>
      <c r="Q66" s="42">
        <v>96865900000</v>
      </c>
      <c r="R66" s="42">
        <v>11059900000</v>
      </c>
      <c r="S66" s="42">
        <f t="shared" si="22"/>
        <v>439015600000</v>
      </c>
      <c r="T66" s="42"/>
      <c r="U66" s="42">
        <v>439015600000</v>
      </c>
      <c r="V66" s="34">
        <f t="shared" si="8"/>
        <v>0</v>
      </c>
      <c r="W66" s="21">
        <f t="shared" si="9"/>
        <v>0.08595255158140273</v>
      </c>
      <c r="X66" s="13">
        <f t="shared" si="18"/>
        <v>1.6188232304175196E-05</v>
      </c>
      <c r="Y66" s="13">
        <f t="shared" si="19"/>
        <v>0.04324525729573045</v>
      </c>
      <c r="Z66" s="13">
        <f t="shared" si="20"/>
        <v>0.0741846191853534</v>
      </c>
      <c r="AA66" s="22">
        <f t="shared" si="21"/>
        <v>0.20339861629479075</v>
      </c>
      <c r="AB66" s="26">
        <f t="shared" si="2"/>
        <v>0.07973971074020836</v>
      </c>
      <c r="AC66" s="14">
        <f t="shared" si="14"/>
        <v>1.5018111011023466E-05</v>
      </c>
      <c r="AD66" s="14">
        <f t="shared" si="15"/>
        <v>0.04011939429606814</v>
      </c>
      <c r="AE66" s="14">
        <f t="shared" si="16"/>
        <v>0.06882239056754774</v>
      </c>
      <c r="AF66" s="27">
        <f t="shared" si="17"/>
        <v>0.18869651371483526</v>
      </c>
    </row>
    <row r="67" spans="1:32" ht="15">
      <c r="A67" s="4">
        <v>1989</v>
      </c>
      <c r="B67" s="3">
        <v>7353729000000</v>
      </c>
      <c r="C67" s="3">
        <v>6358699100000</v>
      </c>
      <c r="D67" s="3">
        <f t="shared" si="0"/>
        <v>1493622100000</v>
      </c>
      <c r="G67" s="40">
        <f aca="true" t="shared" si="23" ref="G67:G92">+J67+K67+M67+L67+I67</f>
        <v>562974300000</v>
      </c>
      <c r="J67" s="40">
        <v>167463400000</v>
      </c>
      <c r="K67" s="40">
        <v>395510900000</v>
      </c>
      <c r="N67" s="40">
        <v>497300000</v>
      </c>
      <c r="O67" s="36">
        <f t="shared" si="7"/>
        <v>306556800000</v>
      </c>
      <c r="P67" s="40">
        <v>163451000000</v>
      </c>
      <c r="Q67" s="42">
        <v>136227100000</v>
      </c>
      <c r="R67" s="42">
        <v>6878700000</v>
      </c>
      <c r="S67" s="42">
        <f t="shared" si="22"/>
        <v>623593700000</v>
      </c>
      <c r="T67" s="42"/>
      <c r="U67" s="42">
        <v>623593700000</v>
      </c>
      <c r="V67" s="34">
        <f t="shared" si="8"/>
        <v>0</v>
      </c>
      <c r="W67" s="21">
        <f t="shared" si="9"/>
        <v>0.07655630225155156</v>
      </c>
      <c r="X67" s="13">
        <f t="shared" si="18"/>
        <v>6.762555432760712E-05</v>
      </c>
      <c r="Y67" s="13">
        <f t="shared" si="19"/>
        <v>0.04168725826040095</v>
      </c>
      <c r="Z67" s="13">
        <f t="shared" si="20"/>
        <v>0.0847996574255048</v>
      </c>
      <c r="AA67" s="22">
        <f t="shared" si="21"/>
        <v>0.2031108434917849</v>
      </c>
      <c r="AB67" s="26">
        <f t="shared" si="2"/>
        <v>0.08853608122453853</v>
      </c>
      <c r="AC67" s="14">
        <f t="shared" si="14"/>
        <v>7.820782084184483E-05</v>
      </c>
      <c r="AD67" s="14">
        <f t="shared" si="15"/>
        <v>0.048210615910414756</v>
      </c>
      <c r="AE67" s="14">
        <f t="shared" si="16"/>
        <v>0.09806938340579757</v>
      </c>
      <c r="AF67" s="27">
        <f t="shared" si="17"/>
        <v>0.2348942883615927</v>
      </c>
    </row>
    <row r="68" spans="1:32" ht="15">
      <c r="A68" s="4">
        <v>1990</v>
      </c>
      <c r="B68" s="3">
        <v>9245504000000</v>
      </c>
      <c r="C68" s="3">
        <v>8600071500000</v>
      </c>
      <c r="D68" s="3">
        <f aca="true" t="shared" si="24" ref="D68:D91">SUM(N68:O68,S68)+G68</f>
        <v>2682099600000</v>
      </c>
      <c r="G68" s="40">
        <f t="shared" si="23"/>
        <v>1243051300000</v>
      </c>
      <c r="J68" s="40">
        <v>226973600000</v>
      </c>
      <c r="K68" s="40">
        <v>1016077700000</v>
      </c>
      <c r="N68" s="40">
        <v>151900000</v>
      </c>
      <c r="O68" s="36">
        <f t="shared" si="7"/>
        <v>308208600000</v>
      </c>
      <c r="P68" s="40">
        <v>220613500000</v>
      </c>
      <c r="Q68" s="42">
        <v>87350800000</v>
      </c>
      <c r="R68" s="42">
        <v>244300000</v>
      </c>
      <c r="S68" s="42">
        <f t="shared" si="22"/>
        <v>1130687800000</v>
      </c>
      <c r="T68" s="42"/>
      <c r="U68" s="42">
        <v>1130687800000</v>
      </c>
      <c r="V68" s="34">
        <f t="shared" si="8"/>
        <v>0</v>
      </c>
      <c r="W68" s="21">
        <f t="shared" si="9"/>
        <v>0.13444927393898698</v>
      </c>
      <c r="X68" s="13">
        <f t="shared" si="18"/>
        <v>1.6429607298855747E-05</v>
      </c>
      <c r="Y68" s="13">
        <f t="shared" si="19"/>
        <v>0.03333605177175847</v>
      </c>
      <c r="Z68" s="13">
        <f t="shared" si="20"/>
        <v>0.12229596136673566</v>
      </c>
      <c r="AA68" s="22">
        <f t="shared" si="21"/>
        <v>0.29009771668477996</v>
      </c>
      <c r="AB68" s="26">
        <f aca="true" t="shared" si="25" ref="AB68:AB90">+G68/$C68</f>
        <v>0.14453964714130574</v>
      </c>
      <c r="AC68" s="14">
        <f aca="true" t="shared" si="26" ref="AC68:AC92">+N68/$C68</f>
        <v>1.7662643851274956E-05</v>
      </c>
      <c r="AD68" s="14">
        <f aca="true" t="shared" si="27" ref="AD68:AD92">+O68/$C68</f>
        <v>0.03583791134759752</v>
      </c>
      <c r="AE68" s="14">
        <f aca="true" t="shared" si="28" ref="AE68:AE92">+S68/$C68</f>
        <v>0.13147423251074133</v>
      </c>
      <c r="AF68" s="27">
        <f aca="true" t="shared" si="29" ref="AF68:AF92">+D68/$C68</f>
        <v>0.3118694536434959</v>
      </c>
    </row>
    <row r="69" spans="1:32" ht="15">
      <c r="A69" s="4">
        <v>1991</v>
      </c>
      <c r="B69" s="3">
        <v>12100475000000</v>
      </c>
      <c r="C69" s="3">
        <v>9418869300000</v>
      </c>
      <c r="D69" s="3">
        <f t="shared" si="24"/>
        <v>3411059800000</v>
      </c>
      <c r="G69" s="40">
        <f t="shared" si="23"/>
        <v>1075169100000</v>
      </c>
      <c r="J69" s="40">
        <v>234564500000</v>
      </c>
      <c r="K69" s="40">
        <v>840604600000</v>
      </c>
      <c r="N69" s="40">
        <v>167800000</v>
      </c>
      <c r="O69" s="36">
        <f aca="true" t="shared" si="30" ref="O69:O77">+P69+Q69+R69</f>
        <v>409799300000</v>
      </c>
      <c r="P69" s="40">
        <v>246945400000</v>
      </c>
      <c r="Q69" s="42">
        <v>162555700000</v>
      </c>
      <c r="R69" s="42">
        <v>298200000</v>
      </c>
      <c r="S69" s="42">
        <f t="shared" si="22"/>
        <v>1925923600000</v>
      </c>
      <c r="T69" s="42"/>
      <c r="U69" s="42">
        <v>1925923600000</v>
      </c>
      <c r="V69" s="34">
        <f t="shared" si="8"/>
        <v>0</v>
      </c>
      <c r="W69" s="21">
        <f t="shared" si="9"/>
        <v>0.08885346236408075</v>
      </c>
      <c r="X69" s="13">
        <f t="shared" si="18"/>
        <v>1.3867224220536797E-05</v>
      </c>
      <c r="Y69" s="13">
        <f t="shared" si="19"/>
        <v>0.03386638127842089</v>
      </c>
      <c r="Z69" s="13">
        <f t="shared" si="20"/>
        <v>0.15916099161396557</v>
      </c>
      <c r="AA69" s="22">
        <f t="shared" si="21"/>
        <v>0.28189470248068776</v>
      </c>
      <c r="AB69" s="26">
        <f t="shared" si="25"/>
        <v>0.11415054883498596</v>
      </c>
      <c r="AC69" s="14">
        <f t="shared" si="26"/>
        <v>1.781530188554586E-05</v>
      </c>
      <c r="AD69" s="14">
        <f t="shared" si="27"/>
        <v>0.0435083327889474</v>
      </c>
      <c r="AE69" s="14">
        <f t="shared" si="28"/>
        <v>0.20447503183848192</v>
      </c>
      <c r="AF69" s="27">
        <f t="shared" si="29"/>
        <v>0.36215172876430085</v>
      </c>
    </row>
    <row r="70" spans="1:32" ht="15">
      <c r="A70" s="4">
        <v>1992</v>
      </c>
      <c r="B70" s="3">
        <v>15185438000000</v>
      </c>
      <c r="C70" s="3">
        <v>10884524000000</v>
      </c>
      <c r="D70" s="3">
        <f t="shared" si="24"/>
        <v>4690307000000</v>
      </c>
      <c r="G70" s="40">
        <f t="shared" si="23"/>
        <v>1432701000000</v>
      </c>
      <c r="J70" s="40">
        <v>242752100000</v>
      </c>
      <c r="K70" s="40">
        <v>1189948900000</v>
      </c>
      <c r="N70" s="40">
        <v>164400000</v>
      </c>
      <c r="O70" s="36">
        <f t="shared" si="30"/>
        <v>570628100000</v>
      </c>
      <c r="P70" s="40">
        <v>361494600000</v>
      </c>
      <c r="Q70" s="42">
        <v>208862300000</v>
      </c>
      <c r="R70" s="42">
        <v>271200000</v>
      </c>
      <c r="S70" s="42">
        <f t="shared" si="22"/>
        <v>2686813500000</v>
      </c>
      <c r="T70" s="42"/>
      <c r="U70" s="42">
        <v>2686813500000</v>
      </c>
      <c r="V70" s="34">
        <f t="shared" si="8"/>
        <v>0</v>
      </c>
      <c r="W70" s="21">
        <f t="shared" si="9"/>
        <v>0.09434703167600433</v>
      </c>
      <c r="X70" s="13">
        <f t="shared" si="18"/>
        <v>1.0826161221032939E-05</v>
      </c>
      <c r="Y70" s="13">
        <f t="shared" si="19"/>
        <v>0.037577322432188</v>
      </c>
      <c r="Z70" s="13">
        <f t="shared" si="20"/>
        <v>0.1769335530526021</v>
      </c>
      <c r="AA70" s="22">
        <f t="shared" si="21"/>
        <v>0.3088687333220155</v>
      </c>
      <c r="AB70" s="26">
        <f t="shared" si="25"/>
        <v>0.13162734539424967</v>
      </c>
      <c r="AC70" s="14">
        <f t="shared" si="26"/>
        <v>1.5104013735465142E-05</v>
      </c>
      <c r="AD70" s="14">
        <f t="shared" si="27"/>
        <v>0.05242563661947918</v>
      </c>
      <c r="AE70" s="14">
        <f t="shared" si="28"/>
        <v>0.24684712900628453</v>
      </c>
      <c r="AF70" s="27">
        <f t="shared" si="29"/>
        <v>0.43091521503374886</v>
      </c>
    </row>
    <row r="71" spans="1:32" ht="15">
      <c r="A71" s="4">
        <v>1993</v>
      </c>
      <c r="B71" s="3">
        <v>17974917000000</v>
      </c>
      <c r="C71" s="3">
        <v>12035959400000</v>
      </c>
      <c r="D71" s="3">
        <f t="shared" si="24"/>
        <v>5305425500000</v>
      </c>
      <c r="G71" s="40">
        <f t="shared" si="23"/>
        <v>2221103000000</v>
      </c>
      <c r="J71" s="40">
        <v>283796200000</v>
      </c>
      <c r="K71" s="40">
        <v>1937306800000</v>
      </c>
      <c r="N71" s="40">
        <v>184700000</v>
      </c>
      <c r="O71" s="36">
        <f t="shared" si="30"/>
        <v>553556200000</v>
      </c>
      <c r="P71" s="40">
        <v>398214600000</v>
      </c>
      <c r="Q71" s="42">
        <v>154751000000</v>
      </c>
      <c r="R71" s="42">
        <v>590600000</v>
      </c>
      <c r="S71" s="42">
        <f t="shared" si="22"/>
        <v>2530581600000</v>
      </c>
      <c r="T71" s="42"/>
      <c r="U71" s="42">
        <v>2530581600000</v>
      </c>
      <c r="V71" s="34">
        <f t="shared" si="8"/>
        <v>0</v>
      </c>
      <c r="W71" s="21">
        <f t="shared" si="9"/>
        <v>0.12356680144893019</v>
      </c>
      <c r="X71" s="13">
        <f t="shared" si="18"/>
        <v>1.0275429922708405E-05</v>
      </c>
      <c r="Y71" s="13">
        <f t="shared" si="19"/>
        <v>0.030796036499083697</v>
      </c>
      <c r="Z71" s="13">
        <f t="shared" si="20"/>
        <v>0.14078404923928162</v>
      </c>
      <c r="AA71" s="22">
        <f t="shared" si="21"/>
        <v>0.2951571626172182</v>
      </c>
      <c r="AB71" s="26">
        <f t="shared" si="25"/>
        <v>0.18453892425060855</v>
      </c>
      <c r="AC71" s="14">
        <f t="shared" si="26"/>
        <v>1.5345681541597755E-05</v>
      </c>
      <c r="AD71" s="14">
        <f t="shared" si="27"/>
        <v>0.045991863349090396</v>
      </c>
      <c r="AE71" s="14">
        <f t="shared" si="28"/>
        <v>0.21025175608352417</v>
      </c>
      <c r="AF71" s="27">
        <f t="shared" si="29"/>
        <v>0.4407978893647647</v>
      </c>
    </row>
    <row r="72" spans="1:32" ht="15">
      <c r="A72" s="4">
        <v>1994</v>
      </c>
      <c r="B72" s="3">
        <v>21395185000000</v>
      </c>
      <c r="C72" s="3">
        <v>12791547800000</v>
      </c>
      <c r="D72" s="3">
        <f t="shared" si="24"/>
        <v>6271108100000</v>
      </c>
      <c r="G72" s="40">
        <f t="shared" si="23"/>
        <v>3283135800000</v>
      </c>
      <c r="J72" s="40">
        <v>273600700000</v>
      </c>
      <c r="K72" s="40">
        <v>3009535100000</v>
      </c>
      <c r="N72" s="40">
        <v>230808500000</v>
      </c>
      <c r="O72" s="36">
        <f t="shared" si="30"/>
        <v>505972500000</v>
      </c>
      <c r="P72" s="40">
        <v>379781100000</v>
      </c>
      <c r="Q72" s="42">
        <v>125916400000</v>
      </c>
      <c r="R72" s="42">
        <v>275000000</v>
      </c>
      <c r="S72" s="42">
        <f t="shared" si="22"/>
        <v>2251191300000</v>
      </c>
      <c r="T72" s="42"/>
      <c r="U72" s="42">
        <v>2251191300000</v>
      </c>
      <c r="V72" s="34">
        <f aca="true" t="shared" si="31" ref="V72:V91">SUM(P72:S72,N72)-D72+G72</f>
        <v>0</v>
      </c>
      <c r="W72" s="21">
        <f t="shared" si="9"/>
        <v>0.1534520874673437</v>
      </c>
      <c r="X72" s="13">
        <f t="shared" si="18"/>
        <v>0.010787871196252801</v>
      </c>
      <c r="Y72" s="13">
        <f t="shared" si="19"/>
        <v>0.023648895767902918</v>
      </c>
      <c r="Z72" s="13">
        <f t="shared" si="20"/>
        <v>0.10521952953433214</v>
      </c>
      <c r="AA72" s="22">
        <f t="shared" si="21"/>
        <v>0.29310838396583155</v>
      </c>
      <c r="AB72" s="26">
        <f t="shared" si="25"/>
        <v>0.25666446714134156</v>
      </c>
      <c r="AC72" s="14">
        <f t="shared" si="26"/>
        <v>0.0180438289102121</v>
      </c>
      <c r="AD72" s="14">
        <f t="shared" si="27"/>
        <v>0.039555220987408574</v>
      </c>
      <c r="AE72" s="14">
        <f t="shared" si="28"/>
        <v>0.1759905318103881</v>
      </c>
      <c r="AF72" s="27">
        <f t="shared" si="29"/>
        <v>0.49025404884935037</v>
      </c>
    </row>
    <row r="73" spans="1:32" ht="15">
      <c r="A73" s="4">
        <v>1995</v>
      </c>
      <c r="B73" s="3">
        <v>25875727000000</v>
      </c>
      <c r="C73" s="3">
        <v>13542233700000</v>
      </c>
      <c r="D73" s="3">
        <f t="shared" si="24"/>
        <v>6953402500000</v>
      </c>
      <c r="G73" s="40">
        <f t="shared" si="23"/>
        <v>3331862900000</v>
      </c>
      <c r="J73" s="40">
        <v>279533600000</v>
      </c>
      <c r="K73" s="40">
        <v>3052329300000</v>
      </c>
      <c r="N73" s="40">
        <v>140425600000</v>
      </c>
      <c r="O73" s="36">
        <f t="shared" si="30"/>
        <v>526089700000</v>
      </c>
      <c r="P73" s="40">
        <v>402126900000</v>
      </c>
      <c r="Q73" s="42">
        <v>122621000000</v>
      </c>
      <c r="R73" s="42">
        <v>1341800000</v>
      </c>
      <c r="S73" s="42">
        <f t="shared" si="22"/>
        <v>2955024300000</v>
      </c>
      <c r="T73" s="42"/>
      <c r="U73" s="42">
        <v>2955024300000</v>
      </c>
      <c r="V73" s="34">
        <f t="shared" si="31"/>
        <v>0</v>
      </c>
      <c r="W73" s="21">
        <f t="shared" si="9"/>
        <v>0.1287640304753563</v>
      </c>
      <c r="X73" s="13">
        <f t="shared" si="18"/>
        <v>0.005426923850294138</v>
      </c>
      <c r="Y73" s="13">
        <f t="shared" si="19"/>
        <v>0.020331397838599857</v>
      </c>
      <c r="Z73" s="13">
        <f t="shared" si="20"/>
        <v>0.11420062902966939</v>
      </c>
      <c r="AA73" s="22">
        <f t="shared" si="21"/>
        <v>0.2687229811939197</v>
      </c>
      <c r="AB73" s="26">
        <f t="shared" si="25"/>
        <v>0.24603495802911746</v>
      </c>
      <c r="AC73" s="14">
        <f t="shared" si="26"/>
        <v>0.010369456258903582</v>
      </c>
      <c r="AD73" s="14">
        <f t="shared" si="27"/>
        <v>0.038848074228699805</v>
      </c>
      <c r="AE73" s="14">
        <f t="shared" si="28"/>
        <v>0.21820804200122465</v>
      </c>
      <c r="AF73" s="27">
        <f t="shared" si="29"/>
        <v>0.5134605305179455</v>
      </c>
    </row>
    <row r="74" spans="1:32" ht="15">
      <c r="A74" s="4">
        <v>1996</v>
      </c>
      <c r="B74" s="3">
        <v>32049653080000</v>
      </c>
      <c r="C74" s="3">
        <v>13798831300000</v>
      </c>
      <c r="D74" s="3">
        <f t="shared" si="24"/>
        <v>7732968900000</v>
      </c>
      <c r="E74" s="3">
        <v>6717000000000</v>
      </c>
      <c r="F74" s="52">
        <f>+D74-E74</f>
        <v>1015968900000</v>
      </c>
      <c r="G74" s="40">
        <f t="shared" si="23"/>
        <v>3795030600000</v>
      </c>
      <c r="J74" s="40">
        <f>297777.8*1000000</f>
        <v>297777800000</v>
      </c>
      <c r="K74" s="40">
        <f>3497252.8*1000000</f>
        <v>3497252800000</v>
      </c>
      <c r="N74" s="40">
        <v>23468400000</v>
      </c>
      <c r="O74" s="36">
        <f t="shared" si="30"/>
        <v>506375200000</v>
      </c>
      <c r="P74" s="40">
        <v>416845700000</v>
      </c>
      <c r="Q74" s="42">
        <v>88640100000</v>
      </c>
      <c r="R74" s="42">
        <v>889400000</v>
      </c>
      <c r="S74" s="42">
        <f t="shared" si="22"/>
        <v>3408094700000</v>
      </c>
      <c r="T74" s="42"/>
      <c r="U74" s="42">
        <v>3408094700000</v>
      </c>
      <c r="V74" s="34">
        <f t="shared" si="31"/>
        <v>0</v>
      </c>
      <c r="W74" s="21">
        <f t="shared" si="9"/>
        <v>0.11841097282791556</v>
      </c>
      <c r="X74" s="13">
        <f t="shared" si="18"/>
        <v>0.0007322512958695651</v>
      </c>
      <c r="Y74" s="13">
        <f t="shared" si="19"/>
        <v>0.015799709242905788</v>
      </c>
      <c r="Z74" s="13">
        <f t="shared" si="20"/>
        <v>0.10633795915022741</v>
      </c>
      <c r="AA74" s="22">
        <f t="shared" si="21"/>
        <v>0.2412808925169183</v>
      </c>
      <c r="AB74" s="26">
        <f t="shared" si="25"/>
        <v>0.2750255088632035</v>
      </c>
      <c r="AC74" s="14">
        <f t="shared" si="26"/>
        <v>0.0017007527296895063</v>
      </c>
      <c r="AD74" s="14">
        <f t="shared" si="27"/>
        <v>0.03669696287974765</v>
      </c>
      <c r="AE74" s="14">
        <f t="shared" si="28"/>
        <v>0.2469843007646597</v>
      </c>
      <c r="AF74" s="27">
        <f t="shared" si="29"/>
        <v>0.5604075252373003</v>
      </c>
    </row>
    <row r="75" spans="1:32" ht="15">
      <c r="A75" s="51">
        <v>1997</v>
      </c>
      <c r="B75" s="3">
        <v>35593645340000</v>
      </c>
      <c r="C75" s="3">
        <v>15032103800000</v>
      </c>
      <c r="D75" s="3">
        <f t="shared" si="24"/>
        <v>8911772200000</v>
      </c>
      <c r="E75" s="3">
        <v>8037000000000</v>
      </c>
      <c r="F75" s="52">
        <f aca="true" t="shared" si="32" ref="F75:F92">+D75-E75</f>
        <v>874772200000</v>
      </c>
      <c r="G75" s="40">
        <f t="shared" si="23"/>
        <v>252085000000</v>
      </c>
      <c r="J75" s="40">
        <v>252085000000</v>
      </c>
      <c r="K75" s="50"/>
      <c r="L75" s="50"/>
      <c r="N75" s="40">
        <v>4813700000</v>
      </c>
      <c r="O75" s="36">
        <f t="shared" si="30"/>
        <v>623003300000</v>
      </c>
      <c r="P75" s="40">
        <v>397120600000</v>
      </c>
      <c r="Q75" s="42">
        <v>77689700000</v>
      </c>
      <c r="R75" s="42">
        <v>148193000000</v>
      </c>
      <c r="S75" s="42">
        <f t="shared" si="22"/>
        <v>8031870200000</v>
      </c>
      <c r="T75" s="42"/>
      <c r="U75" s="42">
        <v>8031870200000</v>
      </c>
      <c r="V75" s="34">
        <f t="shared" si="31"/>
        <v>0</v>
      </c>
      <c r="W75" s="21">
        <f t="shared" si="9"/>
        <v>0.007082303528959082</v>
      </c>
      <c r="X75" s="13">
        <f t="shared" si="18"/>
        <v>0.00013524043278001602</v>
      </c>
      <c r="Y75" s="13">
        <f t="shared" si="19"/>
        <v>0.01750321705037251</v>
      </c>
      <c r="Z75" s="13">
        <f t="shared" si="20"/>
        <v>0.22565461118908817</v>
      </c>
      <c r="AA75" s="22">
        <f t="shared" si="21"/>
        <v>0.25037537220119976</v>
      </c>
      <c r="AB75" s="26">
        <f t="shared" si="25"/>
        <v>0.016769775099610473</v>
      </c>
      <c r="AC75" s="14">
        <f t="shared" si="26"/>
        <v>0.0003202279643651742</v>
      </c>
      <c r="AD75" s="14">
        <f t="shared" si="27"/>
        <v>0.041444850853145386</v>
      </c>
      <c r="AE75" s="14">
        <f t="shared" si="28"/>
        <v>0.5343144450612428</v>
      </c>
      <c r="AF75" s="27">
        <f t="shared" si="29"/>
        <v>0.5928492989783639</v>
      </c>
    </row>
    <row r="76" spans="1:32" ht="15">
      <c r="A76" s="51">
        <v>1998</v>
      </c>
      <c r="B76" s="3">
        <v>37542890440000</v>
      </c>
      <c r="C76" s="3">
        <v>13922952400000</v>
      </c>
      <c r="D76" s="3">
        <f t="shared" si="24"/>
        <v>8041417200000</v>
      </c>
      <c r="E76" s="3">
        <v>7719000000000</v>
      </c>
      <c r="F76" s="52">
        <f t="shared" si="32"/>
        <v>322417200000</v>
      </c>
      <c r="G76" s="40">
        <f t="shared" si="23"/>
        <v>152499700000</v>
      </c>
      <c r="J76" s="40">
        <v>152499700000</v>
      </c>
      <c r="K76" s="50"/>
      <c r="L76" s="50"/>
      <c r="N76" s="40">
        <v>20036000000</v>
      </c>
      <c r="O76" s="36">
        <f t="shared" si="30"/>
        <v>755053700000</v>
      </c>
      <c r="P76" s="40">
        <v>412172900000</v>
      </c>
      <c r="Q76" s="42">
        <v>47189000000</v>
      </c>
      <c r="R76" s="42">
        <v>295691800000</v>
      </c>
      <c r="S76" s="42">
        <f t="shared" si="22"/>
        <v>7113827800000</v>
      </c>
      <c r="T76" s="42"/>
      <c r="U76" s="42">
        <v>7113827800000</v>
      </c>
      <c r="V76" s="34">
        <f t="shared" si="31"/>
        <v>0</v>
      </c>
      <c r="W76" s="21">
        <f t="shared" si="9"/>
        <v>0.0040620127596121235</v>
      </c>
      <c r="X76" s="13">
        <f t="shared" si="18"/>
        <v>0.0005336829361079956</v>
      </c>
      <c r="Y76" s="13">
        <f t="shared" si="19"/>
        <v>0.020111762604072953</v>
      </c>
      <c r="Z76" s="13">
        <f t="shared" si="20"/>
        <v>0.1894853517304194</v>
      </c>
      <c r="AA76" s="22">
        <f t="shared" si="21"/>
        <v>0.21419281003021248</v>
      </c>
      <c r="AB76" s="26">
        <f t="shared" si="25"/>
        <v>0.010953115087860245</v>
      </c>
      <c r="AC76" s="14">
        <f t="shared" si="26"/>
        <v>0.001439062594223909</v>
      </c>
      <c r="AD76" s="14">
        <f t="shared" si="27"/>
        <v>0.05423086126474152</v>
      </c>
      <c r="AE76" s="14">
        <f t="shared" si="28"/>
        <v>0.5109424779761511</v>
      </c>
      <c r="AF76" s="27">
        <f t="shared" si="29"/>
        <v>0.5775655169229768</v>
      </c>
    </row>
    <row r="77" spans="1:32" ht="15">
      <c r="A77" s="51">
        <v>1999</v>
      </c>
      <c r="B77" s="3">
        <v>38306646540000</v>
      </c>
      <c r="C77" s="3">
        <v>14298274600000</v>
      </c>
      <c r="D77" s="3">
        <f t="shared" si="24"/>
        <v>8476523800000</v>
      </c>
      <c r="E77" s="3">
        <v>7887000000000</v>
      </c>
      <c r="F77" s="52">
        <f t="shared" si="32"/>
        <v>589523800000</v>
      </c>
      <c r="G77" s="40">
        <f t="shared" si="23"/>
        <v>167232900000</v>
      </c>
      <c r="H77" s="47"/>
      <c r="J77" s="40">
        <v>167232900000</v>
      </c>
      <c r="K77" s="50"/>
      <c r="L77" s="50"/>
      <c r="N77" s="40">
        <v>24525800000</v>
      </c>
      <c r="O77" s="36">
        <f t="shared" si="30"/>
        <v>923722600000</v>
      </c>
      <c r="P77" s="40">
        <v>592559900000</v>
      </c>
      <c r="Q77" s="42">
        <v>9904100000</v>
      </c>
      <c r="R77" s="42">
        <v>321258600000</v>
      </c>
      <c r="S77" s="42">
        <f t="shared" si="22"/>
        <v>7361042500000</v>
      </c>
      <c r="T77" s="42"/>
      <c r="U77" s="42">
        <v>7361042500000</v>
      </c>
      <c r="V77" s="34">
        <f t="shared" si="31"/>
        <v>0</v>
      </c>
      <c r="W77" s="21">
        <f t="shared" si="9"/>
        <v>0.0043656366480781484</v>
      </c>
      <c r="X77" s="13">
        <f t="shared" si="18"/>
        <v>0.0006402492051709624</v>
      </c>
      <c r="Y77" s="13">
        <f t="shared" si="19"/>
        <v>0.024113898851350613</v>
      </c>
      <c r="Z77" s="13">
        <f t="shared" si="20"/>
        <v>0.19216097374416632</v>
      </c>
      <c r="AA77" s="22">
        <f t="shared" si="21"/>
        <v>0.22128075844876605</v>
      </c>
      <c r="AB77" s="26">
        <f t="shared" si="25"/>
        <v>0.011696019602253268</v>
      </c>
      <c r="AC77" s="14">
        <f t="shared" si="26"/>
        <v>0.0017152978723740555</v>
      </c>
      <c r="AD77" s="14">
        <f t="shared" si="27"/>
        <v>0.06460378093451918</v>
      </c>
      <c r="AE77" s="14">
        <f t="shared" si="28"/>
        <v>0.5148203336366194</v>
      </c>
      <c r="AF77" s="27">
        <f t="shared" si="29"/>
        <v>0.5928354320457658</v>
      </c>
    </row>
    <row r="78" spans="1:32" ht="15">
      <c r="A78" s="51">
        <v>2000</v>
      </c>
      <c r="B78" s="3">
        <v>42094988810000</v>
      </c>
      <c r="C78" s="3">
        <v>15594866915000</v>
      </c>
      <c r="D78" s="3">
        <f t="shared" si="24"/>
        <v>9216936600000</v>
      </c>
      <c r="E78" s="3">
        <v>8653000000000</v>
      </c>
      <c r="F78" s="52">
        <f t="shared" si="32"/>
        <v>563936600000</v>
      </c>
      <c r="G78" s="40">
        <f t="shared" si="23"/>
        <v>10233500000</v>
      </c>
      <c r="H78" s="47"/>
      <c r="J78" s="40">
        <v>10233500000</v>
      </c>
      <c r="K78" s="50"/>
      <c r="L78" s="50"/>
      <c r="N78" s="40">
        <v>20274000000</v>
      </c>
      <c r="O78" s="36">
        <f>(+P78+Q78+R78)</f>
        <v>957174100000</v>
      </c>
      <c r="P78" s="40">
        <v>596808900000</v>
      </c>
      <c r="Q78" s="42">
        <v>34464300000</v>
      </c>
      <c r="R78" s="42">
        <v>325900900000</v>
      </c>
      <c r="S78" s="42">
        <f t="shared" si="22"/>
        <v>8229255000000</v>
      </c>
      <c r="T78" s="42"/>
      <c r="U78" s="42">
        <f>8229255000000-L78</f>
        <v>8229255000000</v>
      </c>
      <c r="V78" s="34">
        <f t="shared" si="31"/>
        <v>0</v>
      </c>
      <c r="W78" s="21">
        <f t="shared" si="9"/>
        <v>0.0002431049464388728</v>
      </c>
      <c r="X78" s="13">
        <f t="shared" si="18"/>
        <v>0.00048162502409749425</v>
      </c>
      <c r="Y78" s="13">
        <f t="shared" si="19"/>
        <v>0.02273843341116688</v>
      </c>
      <c r="Z78" s="13">
        <f t="shared" si="20"/>
        <v>0.1954925095037696</v>
      </c>
      <c r="AA78" s="22">
        <f t="shared" si="21"/>
        <v>0.21895567288547285</v>
      </c>
      <c r="AB78" s="26">
        <f t="shared" si="25"/>
        <v>0.0006562095114871969</v>
      </c>
      <c r="AC78" s="14">
        <f t="shared" si="26"/>
        <v>0.0013000431558989037</v>
      </c>
      <c r="AD78" s="14">
        <f t="shared" si="27"/>
        <v>0.061377509998455794</v>
      </c>
      <c r="AE78" s="14">
        <f t="shared" si="28"/>
        <v>0.5276899793280474</v>
      </c>
      <c r="AF78" s="27">
        <f t="shared" si="29"/>
        <v>0.5910237419938893</v>
      </c>
    </row>
    <row r="79" spans="1:32" ht="15">
      <c r="A79" s="4">
        <v>2001</v>
      </c>
      <c r="B79" s="3">
        <v>45287944570000</v>
      </c>
      <c r="C79" s="3">
        <v>17357001600000</v>
      </c>
      <c r="D79" s="3">
        <f t="shared" si="24"/>
        <v>10140767500000</v>
      </c>
      <c r="E79" s="3">
        <v>9449000000000</v>
      </c>
      <c r="F79" s="52">
        <f t="shared" si="32"/>
        <v>691767500000</v>
      </c>
      <c r="G79" s="40">
        <f>+J79+K79+M79+I79</f>
        <v>12195300000</v>
      </c>
      <c r="H79" s="47">
        <v>656.2</v>
      </c>
      <c r="J79" s="40">
        <v>12195300000</v>
      </c>
      <c r="K79" s="50"/>
      <c r="L79" s="50">
        <f>+(7279.3*1000000)*H79</f>
        <v>4776676660000</v>
      </c>
      <c r="N79" s="40">
        <v>89098500000</v>
      </c>
      <c r="O79" s="36">
        <f aca="true" t="shared" si="33" ref="O79:O84">(+P79+Q79+R79)</f>
        <v>1000439500000</v>
      </c>
      <c r="P79" s="40">
        <v>614568300000</v>
      </c>
      <c r="Q79" s="42">
        <v>7855100000</v>
      </c>
      <c r="R79" s="42">
        <v>378016100000</v>
      </c>
      <c r="S79" s="42">
        <f t="shared" si="22"/>
        <v>9039034200000</v>
      </c>
      <c r="T79" s="42"/>
      <c r="U79" s="42">
        <f>9039034200000</f>
        <v>9039034200000</v>
      </c>
      <c r="V79" s="34">
        <f t="shared" si="31"/>
        <v>0</v>
      </c>
      <c r="W79" s="21">
        <f t="shared" si="9"/>
        <v>0.0002692835834302471</v>
      </c>
      <c r="X79" s="13">
        <f t="shared" si="18"/>
        <v>0.001967377871660383</v>
      </c>
      <c r="Y79" s="13">
        <f t="shared" si="19"/>
        <v>0.02209063602905748</v>
      </c>
      <c r="Z79" s="13">
        <f t="shared" si="20"/>
        <v>0.19959029463191202</v>
      </c>
      <c r="AA79" s="22">
        <f t="shared" si="21"/>
        <v>0.22391759211606013</v>
      </c>
      <c r="AB79" s="26">
        <f t="shared" si="25"/>
        <v>0.0007026155946197527</v>
      </c>
      <c r="AC79" s="14">
        <f t="shared" si="26"/>
        <v>0.00513328868967783</v>
      </c>
      <c r="AD79" s="14">
        <f t="shared" si="27"/>
        <v>0.05763895879343584</v>
      </c>
      <c r="AE79" s="14">
        <f t="shared" si="28"/>
        <v>0.5207716406501915</v>
      </c>
      <c r="AF79" s="27">
        <f t="shared" si="29"/>
        <v>0.584246503727925</v>
      </c>
    </row>
    <row r="80" spans="1:32" ht="15">
      <c r="A80" s="4">
        <v>2002</v>
      </c>
      <c r="B80" s="3">
        <v>48328914980000</v>
      </c>
      <c r="C80" s="3">
        <v>17757216300000</v>
      </c>
      <c r="D80" s="3">
        <f t="shared" si="24"/>
        <v>10935836600000</v>
      </c>
      <c r="E80" s="3">
        <v>10936000000000</v>
      </c>
      <c r="F80" s="3">
        <f>+D80-E80</f>
        <v>-163400000</v>
      </c>
      <c r="G80" s="40">
        <f t="shared" si="23"/>
        <v>5369260324000</v>
      </c>
      <c r="H80" s="47">
        <v>712.38</v>
      </c>
      <c r="J80" s="40">
        <v>1619500000</v>
      </c>
      <c r="L80" s="40">
        <f>+(7534.8*1000000)*H80</f>
        <v>5367640824000</v>
      </c>
      <c r="N80" s="40">
        <v>0</v>
      </c>
      <c r="O80" s="36">
        <f t="shared" si="33"/>
        <v>381114400000</v>
      </c>
      <c r="P80" s="40">
        <v>349231800000</v>
      </c>
      <c r="Q80" s="42">
        <v>5871600000</v>
      </c>
      <c r="R80" s="42">
        <v>26011000000</v>
      </c>
      <c r="S80" s="42">
        <f t="shared" si="22"/>
        <v>5185461876000</v>
      </c>
      <c r="T80" s="42"/>
      <c r="U80" s="42">
        <f>10553102700000-L80</f>
        <v>5185461876000</v>
      </c>
      <c r="V80" s="34">
        <f t="shared" si="31"/>
        <v>0</v>
      </c>
      <c r="W80" s="21">
        <f t="shared" si="9"/>
        <v>0.11109830059751943</v>
      </c>
      <c r="X80" s="13">
        <f t="shared" si="18"/>
        <v>0</v>
      </c>
      <c r="Y80" s="13">
        <f t="shared" si="19"/>
        <v>0.007885846395635344</v>
      </c>
      <c r="Z80" s="13">
        <f t="shared" si="20"/>
        <v>0.10729522643216602</v>
      </c>
      <c r="AA80" s="22">
        <f t="shared" si="21"/>
        <v>0.22627937342532078</v>
      </c>
      <c r="AB80" s="26">
        <f t="shared" si="25"/>
        <v>0.30237060996998727</v>
      </c>
      <c r="AC80" s="14">
        <f t="shared" si="26"/>
        <v>0</v>
      </c>
      <c r="AD80" s="14">
        <f t="shared" si="27"/>
        <v>0.02146250817477512</v>
      </c>
      <c r="AE80" s="14">
        <f t="shared" si="28"/>
        <v>0.29201997590129036</v>
      </c>
      <c r="AF80" s="27">
        <f t="shared" si="29"/>
        <v>0.6158530940460527</v>
      </c>
    </row>
    <row r="81" spans="1:32" ht="15">
      <c r="A81" s="4">
        <v>2003</v>
      </c>
      <c r="B81" s="3">
        <v>52643473740000</v>
      </c>
      <c r="C81" s="3">
        <v>15806646200000</v>
      </c>
      <c r="D81" s="3">
        <f t="shared" si="24"/>
        <v>9501545500000</v>
      </c>
      <c r="E81" s="3">
        <v>9502000000000</v>
      </c>
      <c r="F81" s="3">
        <f t="shared" si="32"/>
        <v>-454500000</v>
      </c>
      <c r="G81" s="40">
        <f t="shared" si="23"/>
        <v>4753298682000</v>
      </c>
      <c r="H81" s="47">
        <v>599.42</v>
      </c>
      <c r="J81" s="40">
        <v>1636400000</v>
      </c>
      <c r="L81" s="40">
        <f>+(7927.1*1000000)*H81</f>
        <v>4751662282000</v>
      </c>
      <c r="N81" s="40">
        <v>0</v>
      </c>
      <c r="O81" s="36">
        <f t="shared" si="33"/>
        <v>382142900000</v>
      </c>
      <c r="P81" s="40">
        <v>349006500000</v>
      </c>
      <c r="Q81" s="42">
        <v>5797400000</v>
      </c>
      <c r="R81" s="42">
        <v>27339000000</v>
      </c>
      <c r="S81" s="42">
        <f t="shared" si="22"/>
        <v>4366103918000</v>
      </c>
      <c r="T81" s="42"/>
      <c r="U81" s="42">
        <f>9117766200000-L81</f>
        <v>4366103918000</v>
      </c>
      <c r="V81" s="34">
        <f t="shared" si="31"/>
        <v>0</v>
      </c>
      <c r="W81" s="21">
        <f t="shared" si="9"/>
        <v>0.09029226880953924</v>
      </c>
      <c r="X81" s="13">
        <f t="shared" si="18"/>
        <v>0</v>
      </c>
      <c r="Y81" s="13">
        <f t="shared" si="19"/>
        <v>0.007259074541459011</v>
      </c>
      <c r="Z81" s="13">
        <f t="shared" si="20"/>
        <v>0.0829372305399845</v>
      </c>
      <c r="AA81" s="22">
        <f t="shared" si="21"/>
        <v>0.18048857389098275</v>
      </c>
      <c r="AB81" s="26">
        <f t="shared" si="25"/>
        <v>0.3007151942200111</v>
      </c>
      <c r="AC81" s="14">
        <f t="shared" si="26"/>
        <v>0</v>
      </c>
      <c r="AD81" s="14">
        <f t="shared" si="27"/>
        <v>0.0241760899285517</v>
      </c>
      <c r="AE81" s="14">
        <f t="shared" si="28"/>
        <v>0.2762195005035287</v>
      </c>
      <c r="AF81" s="27">
        <f t="shared" si="29"/>
        <v>0.6011107846520914</v>
      </c>
    </row>
    <row r="82" spans="1:32" ht="15">
      <c r="A82" s="4">
        <v>2004</v>
      </c>
      <c r="B82" s="3">
        <v>60546524560000</v>
      </c>
      <c r="C82" s="3">
        <v>14890710000000</v>
      </c>
      <c r="D82" s="3">
        <f t="shared" si="24"/>
        <v>8966255100000</v>
      </c>
      <c r="E82" s="3">
        <v>8966000000000</v>
      </c>
      <c r="F82" s="3">
        <f t="shared" si="32"/>
        <v>255100000</v>
      </c>
      <c r="G82" s="40">
        <f t="shared" si="23"/>
        <v>4258686503000.0005</v>
      </c>
      <c r="H82" s="47">
        <v>559.83</v>
      </c>
      <c r="J82" s="40">
        <v>1683200000</v>
      </c>
      <c r="L82" s="40">
        <f>+(7604.1*1000000)*H82</f>
        <v>4257003303000.0005</v>
      </c>
      <c r="N82" s="40">
        <v>0</v>
      </c>
      <c r="O82" s="36">
        <f t="shared" si="33"/>
        <v>289799800000</v>
      </c>
      <c r="P82" s="40">
        <v>249476200000</v>
      </c>
      <c r="Q82" s="42">
        <v>10859300000</v>
      </c>
      <c r="R82" s="42">
        <v>29464300000</v>
      </c>
      <c r="S82" s="42">
        <f t="shared" si="22"/>
        <v>4417768797000</v>
      </c>
      <c r="T82" s="42"/>
      <c r="U82" s="42">
        <f>8674772100000-L82</f>
        <v>4417768797000</v>
      </c>
      <c r="V82" s="34">
        <f t="shared" si="31"/>
        <v>0</v>
      </c>
      <c r="W82" s="21">
        <f aca="true" t="shared" si="34" ref="W82:W90">+G82/$B82</f>
        <v>0.07033742289831607</v>
      </c>
      <c r="X82" s="13">
        <f aca="true" t="shared" si="35" ref="X82:X92">+N82/$B82</f>
        <v>0</v>
      </c>
      <c r="Y82" s="13">
        <f aca="true" t="shared" si="36" ref="Y82:Y92">+O82/$B82</f>
        <v>0.004786398593577672</v>
      </c>
      <c r="Z82" s="13">
        <f aca="true" t="shared" si="37" ref="Z82:Z92">+S82/$B82</f>
        <v>0.0729648618001535</v>
      </c>
      <c r="AA82" s="22">
        <f aca="true" t="shared" si="38" ref="AA82:AA92">+D82/$B82</f>
        <v>0.14808868329204725</v>
      </c>
      <c r="AB82" s="26">
        <f t="shared" si="25"/>
        <v>0.28599620186008595</v>
      </c>
      <c r="AC82" s="14">
        <f t="shared" si="26"/>
        <v>0</v>
      </c>
      <c r="AD82" s="14">
        <f t="shared" si="27"/>
        <v>0.019461785233880723</v>
      </c>
      <c r="AE82" s="14">
        <f t="shared" si="28"/>
        <v>0.2966795268325016</v>
      </c>
      <c r="AF82" s="27">
        <f t="shared" si="29"/>
        <v>0.6021375139264682</v>
      </c>
    </row>
    <row r="83" spans="1:32" ht="15">
      <c r="A83" s="4">
        <v>2005</v>
      </c>
      <c r="B83" s="3">
        <v>68882767620000</v>
      </c>
      <c r="C83" s="3">
        <v>13535023224822</v>
      </c>
      <c r="D83" s="3">
        <f t="shared" si="24"/>
        <v>8722739300000</v>
      </c>
      <c r="E83" s="3">
        <v>8723000000000</v>
      </c>
      <c r="F83" s="3">
        <f t="shared" si="32"/>
        <v>-260700000</v>
      </c>
      <c r="G83" s="40">
        <f t="shared" si="23"/>
        <v>4578388984000</v>
      </c>
      <c r="H83" s="47">
        <v>514.21</v>
      </c>
      <c r="J83" s="40">
        <v>1714300000</v>
      </c>
      <c r="L83" s="40">
        <f>+(8900.4*1000000)*H83</f>
        <v>4576674684000</v>
      </c>
      <c r="N83" s="40">
        <v>0</v>
      </c>
      <c r="O83" s="36">
        <f>(+P83+Q83+R83)</f>
        <v>139354100000</v>
      </c>
      <c r="P83" s="40">
        <v>97078700000</v>
      </c>
      <c r="Q83" s="42">
        <v>15223600000</v>
      </c>
      <c r="R83" s="42">
        <v>27051800000</v>
      </c>
      <c r="S83" s="42">
        <f t="shared" si="22"/>
        <v>4004996216000</v>
      </c>
      <c r="T83" s="42"/>
      <c r="U83" s="42">
        <f>8581670900000-L83</f>
        <v>4004996216000</v>
      </c>
      <c r="V83" s="34">
        <f t="shared" si="31"/>
        <v>0</v>
      </c>
      <c r="W83" s="21">
        <f t="shared" si="34"/>
        <v>0.06646639126431779</v>
      </c>
      <c r="X83" s="13">
        <f t="shared" si="35"/>
        <v>0</v>
      </c>
      <c r="Y83" s="13">
        <f t="shared" si="36"/>
        <v>0.0020230618602429494</v>
      </c>
      <c r="Z83" s="13">
        <f t="shared" si="37"/>
        <v>0.05814220819485708</v>
      </c>
      <c r="AA83" s="22">
        <f t="shared" si="38"/>
        <v>0.1266316613194178</v>
      </c>
      <c r="AB83" s="26">
        <f t="shared" si="25"/>
        <v>0.33826236630341733</v>
      </c>
      <c r="AC83" s="14">
        <f t="shared" si="26"/>
        <v>0</v>
      </c>
      <c r="AD83" s="14">
        <f t="shared" si="27"/>
        <v>0.010295815358812039</v>
      </c>
      <c r="AE83" s="14">
        <f t="shared" si="28"/>
        <v>0.2958987324569345</v>
      </c>
      <c r="AF83" s="27">
        <f t="shared" si="29"/>
        <v>0.6444569141191638</v>
      </c>
    </row>
    <row r="84" spans="1:32" ht="15">
      <c r="A84" s="4">
        <v>2006</v>
      </c>
      <c r="B84" s="3">
        <v>82018170640000</v>
      </c>
      <c r="C84" s="3">
        <v>13829122769984</v>
      </c>
      <c r="D84" s="3">
        <f t="shared" si="24"/>
        <v>10383410900000</v>
      </c>
      <c r="E84" s="3">
        <v>10383000000000</v>
      </c>
      <c r="F84" s="3">
        <f t="shared" si="32"/>
        <v>410900000</v>
      </c>
      <c r="G84" s="40">
        <f t="shared" si="23"/>
        <v>5759295345999.999</v>
      </c>
      <c r="H84" s="47">
        <v>534.43</v>
      </c>
      <c r="J84" s="40">
        <v>2308500000</v>
      </c>
      <c r="L84" s="40">
        <f>+(10772.2*1000000)*H84</f>
        <v>5756986845999.999</v>
      </c>
      <c r="N84" s="40">
        <v>0</v>
      </c>
      <c r="O84" s="36">
        <f t="shared" si="33"/>
        <v>106724100000</v>
      </c>
      <c r="P84" s="40">
        <v>60504200000</v>
      </c>
      <c r="Q84" s="42">
        <v>17033500000</v>
      </c>
      <c r="R84" s="42">
        <v>29186400000</v>
      </c>
      <c r="S84" s="42">
        <f t="shared" si="22"/>
        <v>4517391454000.001</v>
      </c>
      <c r="T84" s="42"/>
      <c r="U84" s="42">
        <f>10274378300000-L84</f>
        <v>4517391454000.001</v>
      </c>
      <c r="V84" s="34">
        <f t="shared" si="31"/>
        <v>0</v>
      </c>
      <c r="W84" s="21">
        <f t="shared" si="34"/>
        <v>0.07021974888075849</v>
      </c>
      <c r="X84" s="13">
        <f t="shared" si="35"/>
        <v>0</v>
      </c>
      <c r="Y84" s="13">
        <f t="shared" si="36"/>
        <v>0.0013012250720445965</v>
      </c>
      <c r="Z84" s="13">
        <f t="shared" si="37"/>
        <v>0.055077934788719654</v>
      </c>
      <c r="AA84" s="22">
        <f t="shared" si="38"/>
        <v>0.12659890874152274</v>
      </c>
      <c r="AB84" s="26">
        <f t="shared" si="25"/>
        <v>0.41646136503325454</v>
      </c>
      <c r="AC84" s="14">
        <f t="shared" si="26"/>
        <v>0</v>
      </c>
      <c r="AD84" s="14">
        <f t="shared" si="27"/>
        <v>0.007717344171073801</v>
      </c>
      <c r="AE84" s="14">
        <f t="shared" si="28"/>
        <v>0.3266578458472408</v>
      </c>
      <c r="AF84" s="27">
        <f t="shared" si="29"/>
        <v>0.7508365550515691</v>
      </c>
    </row>
    <row r="85" spans="1:32" ht="15">
      <c r="A85" s="4">
        <v>2007</v>
      </c>
      <c r="B85" s="3">
        <v>90428771040000</v>
      </c>
      <c r="C85" s="3">
        <v>10940373428418</v>
      </c>
      <c r="D85" s="3">
        <f t="shared" si="24"/>
        <v>8384368100000</v>
      </c>
      <c r="E85" s="3">
        <v>8384000000000</v>
      </c>
      <c r="F85" s="3">
        <f t="shared" si="32"/>
        <v>368100000</v>
      </c>
      <c r="G85" s="40">
        <f t="shared" si="23"/>
        <v>3564758244000</v>
      </c>
      <c r="H85" s="47">
        <v>495.82</v>
      </c>
      <c r="J85" s="40">
        <f>(2688.2)*1000000</f>
        <v>2688200000</v>
      </c>
      <c r="L85" s="40">
        <f>(7184.2*1000000)*H85</f>
        <v>3562070044000</v>
      </c>
      <c r="N85" s="40">
        <v>0</v>
      </c>
      <c r="O85" s="36">
        <f aca="true" t="shared" si="39" ref="O85:O92">+P85+Q85+R85</f>
        <v>103840100000</v>
      </c>
      <c r="P85" s="40">
        <v>43830600000</v>
      </c>
      <c r="Q85" s="42">
        <v>33526000000</v>
      </c>
      <c r="R85" s="42">
        <v>26483500000</v>
      </c>
      <c r="S85" s="42">
        <f t="shared" si="22"/>
        <v>4715769756000</v>
      </c>
      <c r="T85" s="42"/>
      <c r="U85" s="42">
        <f>8277839800000-L85</f>
        <v>4715769756000</v>
      </c>
      <c r="V85" s="34">
        <f t="shared" si="31"/>
        <v>0</v>
      </c>
      <c r="W85" s="21">
        <f t="shared" si="34"/>
        <v>0.039420620262805246</v>
      </c>
      <c r="X85" s="13">
        <f t="shared" si="35"/>
        <v>0</v>
      </c>
      <c r="Y85" s="13">
        <f t="shared" si="36"/>
        <v>0.001148308207728132</v>
      </c>
      <c r="Z85" s="13">
        <f t="shared" si="37"/>
        <v>0.05214899751224132</v>
      </c>
      <c r="AA85" s="22">
        <f t="shared" si="38"/>
        <v>0.0927179259827747</v>
      </c>
      <c r="AB85" s="26">
        <f t="shared" si="25"/>
        <v>0.32583515245836275</v>
      </c>
      <c r="AC85" s="14">
        <f t="shared" si="26"/>
        <v>0</v>
      </c>
      <c r="AD85" s="14">
        <f t="shared" si="27"/>
        <v>0.009491458466149951</v>
      </c>
      <c r="AE85" s="14">
        <f t="shared" si="28"/>
        <v>0.43104285122029057</v>
      </c>
      <c r="AF85" s="27">
        <f t="shared" si="29"/>
        <v>0.7663694621448033</v>
      </c>
    </row>
    <row r="86" spans="1:32" ht="15">
      <c r="A86" s="4">
        <v>2008</v>
      </c>
      <c r="B86" s="3">
        <v>93847932008135.72</v>
      </c>
      <c r="C86" s="3">
        <v>18232641118762</v>
      </c>
      <c r="D86" s="3">
        <f t="shared" si="24"/>
        <v>14571656027000</v>
      </c>
      <c r="E86" s="3">
        <v>14572000000000</v>
      </c>
      <c r="F86" s="3">
        <f t="shared" si="32"/>
        <v>-343973000</v>
      </c>
      <c r="G86" s="40">
        <f t="shared" si="23"/>
        <v>3516032879000</v>
      </c>
      <c r="H86" s="47">
        <v>629.11</v>
      </c>
      <c r="J86" s="40">
        <f>(5.7*1000000)*H86</f>
        <v>3585927000</v>
      </c>
      <c r="L86" s="40">
        <f>(5583.2*1000000)*H86</f>
        <v>3512446952000</v>
      </c>
      <c r="N86" s="40">
        <v>0</v>
      </c>
      <c r="O86" s="36">
        <f t="shared" si="39"/>
        <v>193809200000</v>
      </c>
      <c r="P86" s="40">
        <v>105644500000</v>
      </c>
      <c r="Q86" s="42">
        <v>52203000000</v>
      </c>
      <c r="R86" s="42">
        <v>35961700000</v>
      </c>
      <c r="S86" s="42">
        <f t="shared" si="22"/>
        <v>10861813948000</v>
      </c>
      <c r="T86" s="42"/>
      <c r="U86" s="42">
        <f>14374260900000-L86</f>
        <v>10861813948000</v>
      </c>
      <c r="V86" s="34">
        <f t="shared" si="31"/>
        <v>0</v>
      </c>
      <c r="W86" s="21">
        <f t="shared" si="34"/>
        <v>0.03746521424356153</v>
      </c>
      <c r="X86" s="13">
        <f t="shared" si="35"/>
        <v>0</v>
      </c>
      <c r="Y86" s="13">
        <f t="shared" si="36"/>
        <v>0.0020651408704796884</v>
      </c>
      <c r="Z86" s="13">
        <f t="shared" si="37"/>
        <v>0.11573844746049795</v>
      </c>
      <c r="AA86" s="22">
        <f t="shared" si="38"/>
        <v>0.15526880257453918</v>
      </c>
      <c r="AB86" s="26">
        <f t="shared" si="25"/>
        <v>0.19284276238958514</v>
      </c>
      <c r="AC86" s="14">
        <f t="shared" si="26"/>
        <v>0</v>
      </c>
      <c r="AD86" s="14">
        <f t="shared" si="27"/>
        <v>0.010629792948678392</v>
      </c>
      <c r="AE86" s="14">
        <f t="shared" si="28"/>
        <v>0.595734533315792</v>
      </c>
      <c r="AF86" s="27">
        <f t="shared" si="29"/>
        <v>0.7992070886540555</v>
      </c>
    </row>
    <row r="87" spans="1:32" ht="15">
      <c r="A87" s="49">
        <v>2009</v>
      </c>
      <c r="B87" s="3">
        <v>96443760984039.39</v>
      </c>
      <c r="C87" s="3">
        <v>18611993877820.9</v>
      </c>
      <c r="D87" s="3">
        <f t="shared" si="24"/>
        <v>12849409600000</v>
      </c>
      <c r="E87" s="3">
        <v>12849000000000</v>
      </c>
      <c r="F87" s="3">
        <f t="shared" si="32"/>
        <v>409600000</v>
      </c>
      <c r="G87" s="40">
        <f t="shared" si="23"/>
        <v>14103400000</v>
      </c>
      <c r="H87" s="47"/>
      <c r="J87" s="40">
        <v>4446900000</v>
      </c>
      <c r="M87" s="42">
        <f>(9656.5)*1000000</f>
        <v>9656500000</v>
      </c>
      <c r="N87" s="40">
        <v>194300000</v>
      </c>
      <c r="O87" s="36">
        <f t="shared" si="39"/>
        <v>766958300000</v>
      </c>
      <c r="P87" s="40">
        <v>144891500000</v>
      </c>
      <c r="Q87" s="42">
        <v>43014600000</v>
      </c>
      <c r="R87" s="42">
        <v>579052200000</v>
      </c>
      <c r="S87" s="42">
        <f aca="true" t="shared" si="40" ref="S87:S92">SUM(U87:U87)</f>
        <v>12068153600000</v>
      </c>
      <c r="T87" s="42"/>
      <c r="U87" s="42">
        <f>(12068153.6)*1000000-L87</f>
        <v>12068153600000</v>
      </c>
      <c r="V87" s="34">
        <f t="shared" si="31"/>
        <v>0</v>
      </c>
      <c r="W87" s="21">
        <f t="shared" si="34"/>
        <v>0.00014623444643903913</v>
      </c>
      <c r="X87" s="13">
        <f t="shared" si="35"/>
        <v>2.0146456133347495E-06</v>
      </c>
      <c r="Y87" s="13">
        <f t="shared" si="36"/>
        <v>0.007952388958855772</v>
      </c>
      <c r="Z87" s="13">
        <f t="shared" si="37"/>
        <v>0.1251315116381367</v>
      </c>
      <c r="AA87" s="22">
        <f t="shared" si="38"/>
        <v>0.13323214968904484</v>
      </c>
      <c r="AB87" s="26">
        <f t="shared" si="25"/>
        <v>0.0007577586846730272</v>
      </c>
      <c r="AC87" s="14">
        <f t="shared" si="26"/>
        <v>1.0439504830889658E-05</v>
      </c>
      <c r="AD87" s="14">
        <f t="shared" si="27"/>
        <v>0.0412077451257896</v>
      </c>
      <c r="AE87" s="14">
        <f t="shared" si="28"/>
        <v>0.6484073484668986</v>
      </c>
      <c r="AF87" s="27">
        <f t="shared" si="29"/>
        <v>0.6903832917821922</v>
      </c>
    </row>
    <row r="88" spans="1:32" ht="15">
      <c r="A88" s="4">
        <v>2010</v>
      </c>
      <c r="B88" s="3">
        <v>110998728917933</v>
      </c>
      <c r="C88" s="3">
        <v>15091000000000</v>
      </c>
      <c r="D88" s="3">
        <f t="shared" si="24"/>
        <v>13050537000000</v>
      </c>
      <c r="E88" s="3">
        <v>13051000000000</v>
      </c>
      <c r="F88" s="3">
        <f t="shared" si="32"/>
        <v>-463000000</v>
      </c>
      <c r="G88" s="40">
        <f t="shared" si="23"/>
        <v>31750600000</v>
      </c>
      <c r="H88" s="47"/>
      <c r="J88" s="40">
        <v>5252400000</v>
      </c>
      <c r="M88" s="42">
        <f>(26498.2)*1000000</f>
        <v>26498200000</v>
      </c>
      <c r="N88" s="40">
        <v>457700000</v>
      </c>
      <c r="O88" s="36">
        <f t="shared" si="39"/>
        <v>718818500000</v>
      </c>
      <c r="P88" s="40">
        <v>132138299999.99998</v>
      </c>
      <c r="Q88" s="42">
        <v>16540300000</v>
      </c>
      <c r="R88" s="42">
        <v>570139900000</v>
      </c>
      <c r="S88" s="42">
        <f t="shared" si="40"/>
        <v>12299510200000</v>
      </c>
      <c r="T88" s="42"/>
      <c r="U88" s="42">
        <f>(12299510.2)*1000000-L88</f>
        <v>12299510200000</v>
      </c>
      <c r="V88" s="34">
        <f t="shared" si="31"/>
        <v>0</v>
      </c>
      <c r="W88" s="21">
        <f t="shared" si="34"/>
        <v>0.000286044716993785</v>
      </c>
      <c r="X88" s="13">
        <f t="shared" si="35"/>
        <v>4.123470642068351E-06</v>
      </c>
      <c r="Y88" s="13">
        <f t="shared" si="36"/>
        <v>0.006475916499291258</v>
      </c>
      <c r="Z88" s="13">
        <f t="shared" si="37"/>
        <v>0.1108076670778244</v>
      </c>
      <c r="AA88" s="22">
        <f t="shared" si="38"/>
        <v>0.11757375176475152</v>
      </c>
      <c r="AB88" s="26">
        <f t="shared" si="25"/>
        <v>0.0021039427473328472</v>
      </c>
      <c r="AC88" s="14">
        <f t="shared" si="26"/>
        <v>3.0329335365449607E-05</v>
      </c>
      <c r="AD88" s="14">
        <f t="shared" si="27"/>
        <v>0.04763226426346829</v>
      </c>
      <c r="AE88" s="14">
        <f t="shared" si="28"/>
        <v>0.8150228745609966</v>
      </c>
      <c r="AF88" s="27">
        <f t="shared" si="29"/>
        <v>0.8647894109071632</v>
      </c>
    </row>
    <row r="89" spans="1:32" ht="15">
      <c r="A89" s="4">
        <v>2011</v>
      </c>
      <c r="B89" s="3">
        <v>121319461768628</v>
      </c>
      <c r="C89" s="3">
        <v>24912000000000</v>
      </c>
      <c r="D89" s="3">
        <f t="shared" si="24"/>
        <v>21890542200000</v>
      </c>
      <c r="E89" s="3">
        <v>21891000000000</v>
      </c>
      <c r="F89" s="3">
        <f t="shared" si="32"/>
        <v>-457800000</v>
      </c>
      <c r="G89" s="40">
        <f t="shared" si="23"/>
        <v>413231000000</v>
      </c>
      <c r="H89" s="47"/>
      <c r="J89" s="40">
        <v>6338500000</v>
      </c>
      <c r="M89" s="42">
        <f>(406892.5)*1000000</f>
        <v>406892500000</v>
      </c>
      <c r="N89" s="40">
        <v>548800000</v>
      </c>
      <c r="O89" s="36">
        <f t="shared" si="39"/>
        <v>964983200000</v>
      </c>
      <c r="P89" s="40">
        <v>313531900000</v>
      </c>
      <c r="Q89" s="42">
        <v>18176600000</v>
      </c>
      <c r="R89" s="42">
        <v>633274700000</v>
      </c>
      <c r="S89" s="42">
        <f t="shared" si="40"/>
        <v>20511779200000</v>
      </c>
      <c r="T89" s="42"/>
      <c r="U89" s="42">
        <f>(20511779.2)*1000000-L89</f>
        <v>20511779200000</v>
      </c>
      <c r="V89" s="34">
        <f t="shared" si="31"/>
        <v>0</v>
      </c>
      <c r="W89" s="21">
        <f t="shared" si="34"/>
        <v>0.0034061394105760648</v>
      </c>
      <c r="X89" s="13">
        <f t="shared" si="35"/>
        <v>4.523594087868878E-06</v>
      </c>
      <c r="Y89" s="13">
        <f t="shared" si="36"/>
        <v>0.007954067599148672</v>
      </c>
      <c r="Z89" s="13">
        <f t="shared" si="37"/>
        <v>0.16907245466616586</v>
      </c>
      <c r="AA89" s="22">
        <f t="shared" si="38"/>
        <v>0.18043718526997846</v>
      </c>
      <c r="AB89" s="26">
        <f t="shared" si="25"/>
        <v>0.016587628452151573</v>
      </c>
      <c r="AC89" s="14">
        <f t="shared" si="26"/>
        <v>2.2029543994861915E-05</v>
      </c>
      <c r="AD89" s="14">
        <f t="shared" si="27"/>
        <v>0.03873567758509955</v>
      </c>
      <c r="AE89" s="14">
        <f t="shared" si="28"/>
        <v>0.8233694283879255</v>
      </c>
      <c r="AF89" s="27">
        <f t="shared" si="29"/>
        <v>0.8787147639691715</v>
      </c>
    </row>
    <row r="90" spans="1:32" ht="15">
      <c r="A90" s="4">
        <v>2012</v>
      </c>
      <c r="B90" s="3">
        <v>129027552548843</v>
      </c>
      <c r="C90" s="3">
        <v>23100000000000</v>
      </c>
      <c r="D90" s="3">
        <f t="shared" si="24"/>
        <v>19933433500000</v>
      </c>
      <c r="E90" s="3">
        <v>19933000000000</v>
      </c>
      <c r="F90" s="3">
        <f t="shared" si="32"/>
        <v>433500000</v>
      </c>
      <c r="G90" s="40">
        <f t="shared" si="23"/>
        <v>16243900000</v>
      </c>
      <c r="H90" s="47"/>
      <c r="J90" s="40">
        <v>6290600000</v>
      </c>
      <c r="M90" s="42">
        <f>(9953.3)*1000000</f>
        <v>9953300000</v>
      </c>
      <c r="N90" s="40">
        <v>285400000</v>
      </c>
      <c r="O90" s="36">
        <f t="shared" si="39"/>
        <v>949754600000</v>
      </c>
      <c r="P90" s="40">
        <v>331087300000</v>
      </c>
      <c r="Q90" s="42">
        <v>38819600000</v>
      </c>
      <c r="R90" s="42">
        <v>579847700000</v>
      </c>
      <c r="S90" s="42">
        <f t="shared" si="40"/>
        <v>18967149600000</v>
      </c>
      <c r="T90" s="42"/>
      <c r="U90" s="42">
        <f>(18967149.6)*1000000-L90</f>
        <v>18967149600000</v>
      </c>
      <c r="V90" s="34">
        <f t="shared" si="31"/>
        <v>0</v>
      </c>
      <c r="W90" s="21">
        <f t="shared" si="34"/>
        <v>0.000125894816100235</v>
      </c>
      <c r="X90" s="13">
        <f t="shared" si="35"/>
        <v>2.2119306641266613E-06</v>
      </c>
      <c r="Y90" s="13">
        <f t="shared" si="36"/>
        <v>0.007360866584216369</v>
      </c>
      <c r="Z90" s="13">
        <f t="shared" si="37"/>
        <v>0.1470007701868176</v>
      </c>
      <c r="AA90" s="22">
        <f t="shared" si="38"/>
        <v>0.15448974351779832</v>
      </c>
      <c r="AB90" s="26">
        <f t="shared" si="25"/>
        <v>0.0007031991341991342</v>
      </c>
      <c r="AC90" s="14">
        <f t="shared" si="26"/>
        <v>1.2354978354978355E-05</v>
      </c>
      <c r="AD90" s="14">
        <f t="shared" si="27"/>
        <v>0.04111491774891775</v>
      </c>
      <c r="AE90" s="14">
        <f t="shared" si="28"/>
        <v>0.8210887272727273</v>
      </c>
      <c r="AF90" s="27">
        <f t="shared" si="29"/>
        <v>0.8629191991341991</v>
      </c>
    </row>
    <row r="91" spans="1:32" ht="15">
      <c r="A91" s="4">
        <v>2013</v>
      </c>
      <c r="B91" s="3">
        <v>137028983392428.02</v>
      </c>
      <c r="C91" s="3">
        <v>23561000000000</v>
      </c>
      <c r="D91" s="3">
        <f t="shared" si="24"/>
        <v>21523220500000</v>
      </c>
      <c r="E91" s="3">
        <v>21523000000000</v>
      </c>
      <c r="F91" s="3">
        <f t="shared" si="32"/>
        <v>220500000</v>
      </c>
      <c r="G91" s="40">
        <f t="shared" si="23"/>
        <v>15061900000</v>
      </c>
      <c r="H91" s="47"/>
      <c r="J91" s="40">
        <v>5050300000</v>
      </c>
      <c r="M91" s="42">
        <f>(10011.6)*1000000</f>
        <v>10011600000</v>
      </c>
      <c r="N91" s="40">
        <v>434400000</v>
      </c>
      <c r="O91" s="36">
        <f t="shared" si="39"/>
        <v>1005780800000</v>
      </c>
      <c r="P91" s="40">
        <v>335578000000</v>
      </c>
      <c r="Q91" s="42">
        <v>69397100000</v>
      </c>
      <c r="R91" s="42">
        <v>600805700000</v>
      </c>
      <c r="S91" s="42">
        <f t="shared" si="40"/>
        <v>20501943400000</v>
      </c>
      <c r="T91" s="42"/>
      <c r="U91" s="42">
        <f>(20501943.4)*1000000-L91</f>
        <v>20501943400000</v>
      </c>
      <c r="V91" s="34">
        <f t="shared" si="31"/>
        <v>0</v>
      </c>
      <c r="W91" s="21">
        <f>+G91/$B91</f>
        <v>0.00010991762200311481</v>
      </c>
      <c r="X91" s="13">
        <f t="shared" si="35"/>
        <v>3.1701322541082515E-06</v>
      </c>
      <c r="Y91" s="13">
        <f t="shared" si="36"/>
        <v>0.007339912879011972</v>
      </c>
      <c r="Z91" s="13">
        <f t="shared" si="37"/>
        <v>0.14961756916261923</v>
      </c>
      <c r="AA91" s="22">
        <f t="shared" si="38"/>
        <v>0.15707056979588843</v>
      </c>
      <c r="AB91" s="26">
        <f>+G91/$C91</f>
        <v>0.0006392725266329952</v>
      </c>
      <c r="AC91" s="14">
        <f t="shared" si="26"/>
        <v>1.8437247994567295E-05</v>
      </c>
      <c r="AD91" s="14">
        <f t="shared" si="27"/>
        <v>0.04268837485675481</v>
      </c>
      <c r="AE91" s="14">
        <f t="shared" si="28"/>
        <v>0.8701643987946183</v>
      </c>
      <c r="AF91" s="27">
        <f t="shared" si="29"/>
        <v>0.9135104834260006</v>
      </c>
    </row>
    <row r="92" spans="1:32" ht="15">
      <c r="A92" s="4">
        <v>2014</v>
      </c>
      <c r="B92" s="3">
        <v>147184925067591</v>
      </c>
      <c r="C92" s="3">
        <v>25626260000000</v>
      </c>
      <c r="D92" s="3">
        <f>SUM(N92:O92,S92)+G92</f>
        <v>24566660200000</v>
      </c>
      <c r="E92" s="3">
        <v>24567000000000</v>
      </c>
      <c r="F92" s="3">
        <f t="shared" si="32"/>
        <v>-339800000</v>
      </c>
      <c r="G92" s="40">
        <f t="shared" si="23"/>
        <v>108540000000</v>
      </c>
      <c r="H92" s="47"/>
      <c r="J92" s="40">
        <v>5716700000</v>
      </c>
      <c r="M92" s="42">
        <f>(102823.3)*1000000</f>
        <v>102823300000</v>
      </c>
      <c r="N92" s="40">
        <v>786200000</v>
      </c>
      <c r="O92" s="36">
        <f t="shared" si="39"/>
        <v>1025401300000</v>
      </c>
      <c r="P92" s="40">
        <v>297408700000</v>
      </c>
      <c r="Q92" s="42">
        <v>72535400000</v>
      </c>
      <c r="R92" s="42">
        <v>655457200000</v>
      </c>
      <c r="S92" s="42">
        <f t="shared" si="40"/>
        <v>23431932700000</v>
      </c>
      <c r="T92" s="42"/>
      <c r="U92" s="42">
        <f>(23431932.7)*1000000-L92</f>
        <v>23431932700000</v>
      </c>
      <c r="V92" s="34">
        <f>SUM(P92:S92,N92)-D92+G92</f>
        <v>0</v>
      </c>
      <c r="W92" s="23">
        <f>+G92/$B92</f>
        <v>0.000737439652533408</v>
      </c>
      <c r="X92" s="24">
        <f t="shared" si="35"/>
        <v>5.341579646413906E-06</v>
      </c>
      <c r="Y92" s="24">
        <f t="shared" si="36"/>
        <v>0.006966754914126634</v>
      </c>
      <c r="Z92" s="24">
        <f t="shared" si="37"/>
        <v>0.15920062933917634</v>
      </c>
      <c r="AA92" s="25">
        <f t="shared" si="38"/>
        <v>0.1669101654854828</v>
      </c>
      <c r="AB92" s="28">
        <f>+G92/$C92</f>
        <v>0.004235499054485516</v>
      </c>
      <c r="AC92" s="29">
        <f t="shared" si="26"/>
        <v>3.0679467077911486E-05</v>
      </c>
      <c r="AD92" s="29">
        <f t="shared" si="27"/>
        <v>0.04001369298524248</v>
      </c>
      <c r="AE92" s="29">
        <f t="shared" si="28"/>
        <v>0.9143719255170283</v>
      </c>
      <c r="AF92" s="30">
        <f t="shared" si="29"/>
        <v>0.9586517970238342</v>
      </c>
    </row>
    <row r="93" ht="15">
      <c r="V93" s="34"/>
    </row>
  </sheetData>
  <sheetProtection/>
  <mergeCells count="2">
    <mergeCell ref="W2:AA2"/>
    <mergeCell ref="AB2:A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6"/>
  <sheetViews>
    <sheetView showGridLines="0" zoomScale="70" zoomScaleNormal="70" zoomScalePageLayoutView="0" workbookViewId="0" topLeftCell="A1">
      <pane xSplit="1" ySplit="6" topLeftCell="B7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6" sqref="E6"/>
    </sheetView>
  </sheetViews>
  <sheetFormatPr defaultColWidth="11.421875" defaultRowHeight="15"/>
  <cols>
    <col min="1" max="1" width="11.57421875" style="16" customWidth="1"/>
    <col min="2" max="2" width="26.28125" style="16" customWidth="1"/>
    <col min="3" max="3" width="24.140625" style="0" customWidth="1"/>
    <col min="4" max="4" width="25.57421875" style="0" customWidth="1"/>
    <col min="5" max="5" width="25.8515625" style="0" customWidth="1"/>
  </cols>
  <sheetData>
    <row r="2" ht="18.75">
      <c r="A2" s="59" t="s">
        <v>53</v>
      </c>
    </row>
    <row r="3" ht="18.75">
      <c r="A3" s="59" t="s">
        <v>51</v>
      </c>
    </row>
    <row r="6" spans="1:6" s="60" customFormat="1" ht="30">
      <c r="A6" s="9"/>
      <c r="B6" s="63" t="s">
        <v>27</v>
      </c>
      <c r="C6" s="64" t="s">
        <v>58</v>
      </c>
      <c r="D6" s="64" t="s">
        <v>59</v>
      </c>
      <c r="E6" s="64" t="s">
        <v>26</v>
      </c>
      <c r="F6" s="64"/>
    </row>
    <row r="7" spans="1:6" s="5" customFormat="1" ht="15">
      <c r="A7" s="4">
        <v>1926</v>
      </c>
      <c r="B7" s="65">
        <f aca="true" t="shared" si="0" ref="B7:B38">+E7+D7+C7</f>
        <v>8.53759964</v>
      </c>
      <c r="C7" s="61"/>
      <c r="D7" s="61"/>
      <c r="E7" s="62">
        <v>8.53759964</v>
      </c>
      <c r="F7" s="62"/>
    </row>
    <row r="8" spans="1:6" s="5" customFormat="1" ht="15">
      <c r="A8" s="4">
        <v>1927</v>
      </c>
      <c r="B8" s="65">
        <f t="shared" si="0"/>
        <v>8.36553854</v>
      </c>
      <c r="C8" s="61"/>
      <c r="D8" s="61"/>
      <c r="E8" s="62">
        <v>8.36553854</v>
      </c>
      <c r="F8" s="62"/>
    </row>
    <row r="9" spans="1:6" s="5" customFormat="1" ht="15">
      <c r="A9" s="4">
        <v>1928</v>
      </c>
      <c r="B9" s="65">
        <f t="shared" si="0"/>
        <v>1.99729238</v>
      </c>
      <c r="C9" s="61"/>
      <c r="D9" s="61"/>
      <c r="E9" s="62">
        <v>1.99729238</v>
      </c>
      <c r="F9" s="62"/>
    </row>
    <row r="10" spans="1:6" s="5" customFormat="1" ht="15">
      <c r="A10" s="4">
        <v>1929</v>
      </c>
      <c r="B10" s="65">
        <f t="shared" si="0"/>
        <v>0</v>
      </c>
      <c r="C10" s="61"/>
      <c r="D10" s="61"/>
      <c r="E10" s="62">
        <v>0</v>
      </c>
      <c r="F10" s="62"/>
    </row>
    <row r="11" spans="1:6" s="5" customFormat="1" ht="15">
      <c r="A11" s="4">
        <v>1930</v>
      </c>
      <c r="B11" s="65">
        <f t="shared" si="0"/>
        <v>0</v>
      </c>
      <c r="C11" s="61"/>
      <c r="D11" s="61"/>
      <c r="E11" s="62">
        <v>0</v>
      </c>
      <c r="F11" s="62"/>
    </row>
    <row r="12" spans="1:6" s="5" customFormat="1" ht="15">
      <c r="A12" s="4">
        <v>1931</v>
      </c>
      <c r="B12" s="65">
        <f t="shared" si="0"/>
        <v>130.35577177</v>
      </c>
      <c r="C12" s="61">
        <v>46.5</v>
      </c>
      <c r="D12" s="61"/>
      <c r="E12" s="62">
        <v>83.85577176999999</v>
      </c>
      <c r="F12" s="62"/>
    </row>
    <row r="13" spans="1:6" s="5" customFormat="1" ht="15">
      <c r="A13" s="4">
        <v>1932</v>
      </c>
      <c r="B13" s="65">
        <f t="shared" si="0"/>
        <v>189.65577177000003</v>
      </c>
      <c r="C13" s="61">
        <v>10.8</v>
      </c>
      <c r="D13" s="61"/>
      <c r="E13" s="62">
        <v>178.85577177000002</v>
      </c>
      <c r="F13" s="62"/>
    </row>
    <row r="14" spans="1:6" s="5" customFormat="1" ht="15">
      <c r="A14" s="4">
        <v>1933</v>
      </c>
      <c r="B14" s="65">
        <f t="shared" si="0"/>
        <v>682.25637059</v>
      </c>
      <c r="C14" s="61">
        <v>9.786</v>
      </c>
      <c r="D14" s="61"/>
      <c r="E14" s="62">
        <v>672.47037059</v>
      </c>
      <c r="F14" s="62"/>
    </row>
    <row r="15" spans="1:6" s="5" customFormat="1" ht="15">
      <c r="A15" s="4">
        <v>1934</v>
      </c>
      <c r="B15" s="65">
        <f t="shared" si="0"/>
        <v>713.61558814</v>
      </c>
      <c r="C15" s="61">
        <v>9.541</v>
      </c>
      <c r="D15" s="61"/>
      <c r="E15" s="62">
        <v>704.07458814</v>
      </c>
      <c r="F15" s="62"/>
    </row>
    <row r="16" spans="1:6" s="5" customFormat="1" ht="15">
      <c r="A16" s="4">
        <v>1935</v>
      </c>
      <c r="B16" s="65">
        <f t="shared" si="0"/>
        <v>706.00341853</v>
      </c>
      <c r="C16" s="61">
        <v>8.823</v>
      </c>
      <c r="D16" s="61"/>
      <c r="E16" s="62">
        <v>697.18041853</v>
      </c>
      <c r="F16" s="62"/>
    </row>
    <row r="17" spans="1:6" s="5" customFormat="1" ht="15">
      <c r="A17" s="4">
        <v>1936</v>
      </c>
      <c r="B17" s="65">
        <f t="shared" si="0"/>
        <v>758.71110401</v>
      </c>
      <c r="C17" s="61">
        <v>8.33978</v>
      </c>
      <c r="D17" s="61">
        <v>60.22364791</v>
      </c>
      <c r="E17" s="62">
        <v>690.1476761</v>
      </c>
      <c r="F17" s="62"/>
    </row>
    <row r="18" spans="1:6" s="5" customFormat="1" ht="15">
      <c r="A18" s="4">
        <v>1937</v>
      </c>
      <c r="B18" s="65">
        <f t="shared" si="0"/>
        <v>858.8828140399999</v>
      </c>
      <c r="C18" s="61">
        <v>7.85656</v>
      </c>
      <c r="D18" s="61">
        <v>68.05267848</v>
      </c>
      <c r="E18" s="62">
        <v>782.97357556</v>
      </c>
      <c r="F18" s="62"/>
    </row>
    <row r="19" spans="1:6" s="5" customFormat="1" ht="15">
      <c r="A19" s="4">
        <v>1938</v>
      </c>
      <c r="B19" s="65">
        <f t="shared" si="0"/>
        <v>857.3473485400001</v>
      </c>
      <c r="C19" s="61">
        <v>7.300642</v>
      </c>
      <c r="D19" s="61">
        <v>99.34747181</v>
      </c>
      <c r="E19" s="62">
        <v>750.6992347300001</v>
      </c>
      <c r="F19" s="62"/>
    </row>
    <row r="20" spans="1:6" s="5" customFormat="1" ht="15">
      <c r="A20" s="4">
        <v>1939</v>
      </c>
      <c r="B20" s="65">
        <f t="shared" si="0"/>
        <v>911.92416115</v>
      </c>
      <c r="C20" s="61">
        <v>6.790642</v>
      </c>
      <c r="D20" s="61">
        <v>161.97693497</v>
      </c>
      <c r="E20" s="62">
        <v>743.15658418</v>
      </c>
      <c r="F20" s="62"/>
    </row>
    <row r="21" spans="1:6" s="5" customFormat="1" ht="15">
      <c r="A21" s="4">
        <v>1940</v>
      </c>
      <c r="B21" s="65">
        <f t="shared" si="0"/>
        <v>900.79241215</v>
      </c>
      <c r="C21" s="61">
        <v>6.25388062</v>
      </c>
      <c r="D21" s="61">
        <v>159.06858899000002</v>
      </c>
      <c r="E21" s="62">
        <v>735.4699425399999</v>
      </c>
      <c r="F21" s="62"/>
    </row>
    <row r="22" spans="1:6" s="5" customFormat="1" ht="15">
      <c r="A22" s="4">
        <v>1941</v>
      </c>
      <c r="B22" s="65">
        <f t="shared" si="0"/>
        <v>1004.7571746100001</v>
      </c>
      <c r="C22" s="61">
        <v>5.76888062</v>
      </c>
      <c r="D22" s="61">
        <v>271.351733</v>
      </c>
      <c r="E22" s="62">
        <v>727.63656099</v>
      </c>
      <c r="F22" s="62"/>
    </row>
    <row r="23" spans="1:6" s="5" customFormat="1" ht="15">
      <c r="A23" s="4">
        <v>1942</v>
      </c>
      <c r="B23" s="65">
        <f t="shared" si="0"/>
        <v>1135.3261215</v>
      </c>
      <c r="C23" s="61">
        <v>5.25488062</v>
      </c>
      <c r="D23" s="61">
        <v>410.41760265</v>
      </c>
      <c r="E23" s="62">
        <v>719.6536382300001</v>
      </c>
      <c r="F23" s="62"/>
    </row>
    <row r="24" spans="1:6" s="5" customFormat="1" ht="15">
      <c r="A24" s="4">
        <v>1943</v>
      </c>
      <c r="B24" s="65">
        <f t="shared" si="0"/>
        <v>1206.65355056</v>
      </c>
      <c r="C24" s="61">
        <v>4.74488062</v>
      </c>
      <c r="D24" s="61">
        <v>490.39035047000004</v>
      </c>
      <c r="E24" s="62">
        <v>711.51831947</v>
      </c>
      <c r="F24" s="62"/>
    </row>
    <row r="25" spans="1:6" s="5" customFormat="1" ht="15">
      <c r="A25" s="4">
        <v>1944</v>
      </c>
      <c r="B25" s="65">
        <f t="shared" si="0"/>
        <v>1222.6745691800002</v>
      </c>
      <c r="C25" s="61">
        <v>4.23</v>
      </c>
      <c r="D25" s="61">
        <v>512.49677374</v>
      </c>
      <c r="E25" s="62">
        <v>705.94779544</v>
      </c>
      <c r="F25" s="62"/>
    </row>
    <row r="26" spans="1:6" s="5" customFormat="1" ht="15">
      <c r="A26" s="4">
        <v>1945</v>
      </c>
      <c r="B26" s="65">
        <f t="shared" si="0"/>
        <v>933.2130237199999</v>
      </c>
      <c r="C26" s="61">
        <v>3.76</v>
      </c>
      <c r="D26" s="61">
        <v>232.01982238</v>
      </c>
      <c r="E26" s="62">
        <v>697.43320134</v>
      </c>
      <c r="F26" s="62"/>
    </row>
    <row r="27" spans="1:6" s="5" customFormat="1" ht="15">
      <c r="A27" s="4">
        <v>1946</v>
      </c>
      <c r="B27" s="65">
        <f t="shared" si="0"/>
        <v>1119.2118985900001</v>
      </c>
      <c r="C27" s="61">
        <v>3.29</v>
      </c>
      <c r="D27" s="61">
        <v>295.50378286</v>
      </c>
      <c r="E27" s="62">
        <v>820.4181157300001</v>
      </c>
      <c r="F27" s="62"/>
    </row>
    <row r="28" spans="1:6" s="5" customFormat="1" ht="15">
      <c r="A28" s="4">
        <v>1947</v>
      </c>
      <c r="B28" s="65">
        <f t="shared" si="0"/>
        <v>1178.3466153399997</v>
      </c>
      <c r="C28" s="61">
        <v>2.82</v>
      </c>
      <c r="D28" s="61">
        <v>373.03015581</v>
      </c>
      <c r="E28" s="62">
        <v>802.4964595299999</v>
      </c>
      <c r="F28" s="62"/>
    </row>
    <row r="29" spans="1:6" s="5" customFormat="1" ht="15">
      <c r="A29" s="4">
        <v>1948</v>
      </c>
      <c r="B29" s="65">
        <f t="shared" si="0"/>
        <v>1446.6609999999998</v>
      </c>
      <c r="C29" s="61">
        <v>2.801</v>
      </c>
      <c r="D29" s="61">
        <v>678.598</v>
      </c>
      <c r="E29" s="62">
        <v>765.262</v>
      </c>
      <c r="F29" s="62"/>
    </row>
    <row r="30" spans="1:6" s="5" customFormat="1" ht="15">
      <c r="A30" s="4">
        <v>1949</v>
      </c>
      <c r="B30" s="65">
        <f t="shared" si="0"/>
        <v>1949.513</v>
      </c>
      <c r="C30" s="61">
        <v>3.715</v>
      </c>
      <c r="D30" s="61">
        <v>1263.088</v>
      </c>
      <c r="E30" s="62">
        <v>682.71</v>
      </c>
      <c r="F30" s="62"/>
    </row>
    <row r="31" spans="1:6" s="5" customFormat="1" ht="15">
      <c r="A31" s="4">
        <v>1950</v>
      </c>
      <c r="B31" s="65">
        <f t="shared" si="0"/>
        <v>2465.684</v>
      </c>
      <c r="C31" s="61">
        <v>6.65</v>
      </c>
      <c r="D31" s="61">
        <v>1785.916</v>
      </c>
      <c r="E31" s="62">
        <v>673.118</v>
      </c>
      <c r="F31" s="62"/>
    </row>
    <row r="32" spans="1:6" s="5" customFormat="1" ht="15">
      <c r="A32" s="4">
        <v>1951</v>
      </c>
      <c r="B32" s="65">
        <f t="shared" si="0"/>
        <v>4144.131</v>
      </c>
      <c r="C32" s="61">
        <v>5.676</v>
      </c>
      <c r="D32" s="61">
        <v>3475.112</v>
      </c>
      <c r="E32" s="62">
        <v>663.343</v>
      </c>
      <c r="F32" s="62"/>
    </row>
    <row r="33" spans="1:6" s="5" customFormat="1" ht="15">
      <c r="A33" s="4">
        <v>1952</v>
      </c>
      <c r="B33" s="65">
        <f t="shared" si="0"/>
        <v>8969.496000000001</v>
      </c>
      <c r="C33" s="61">
        <v>4.61</v>
      </c>
      <c r="D33" s="61">
        <v>4911.504</v>
      </c>
      <c r="E33" s="62">
        <v>4053.382</v>
      </c>
      <c r="F33" s="62"/>
    </row>
    <row r="34" spans="1:6" s="5" customFormat="1" ht="15">
      <c r="A34" s="4">
        <v>1953</v>
      </c>
      <c r="B34" s="65">
        <f t="shared" si="0"/>
        <v>8480.895999999999</v>
      </c>
      <c r="C34" s="61">
        <v>3.461</v>
      </c>
      <c r="D34" s="61">
        <v>3147.713</v>
      </c>
      <c r="E34" s="62">
        <v>5329.722</v>
      </c>
      <c r="F34" s="62"/>
    </row>
    <row r="35" spans="1:6" s="5" customFormat="1" ht="15">
      <c r="A35" s="4">
        <v>1954</v>
      </c>
      <c r="B35" s="65">
        <f t="shared" si="0"/>
        <v>16868.874</v>
      </c>
      <c r="C35" s="61">
        <v>2.233</v>
      </c>
      <c r="D35" s="61">
        <v>4110.388</v>
      </c>
      <c r="E35" s="62">
        <v>12756.253</v>
      </c>
      <c r="F35" s="62"/>
    </row>
    <row r="36" spans="1:6" s="5" customFormat="1" ht="15">
      <c r="A36" s="4">
        <v>1955</v>
      </c>
      <c r="B36" s="65">
        <f t="shared" si="0"/>
        <v>23750.513000000003</v>
      </c>
      <c r="C36" s="61">
        <v>0.927</v>
      </c>
      <c r="D36" s="61">
        <v>6223.776</v>
      </c>
      <c r="E36" s="62">
        <v>17525.81</v>
      </c>
      <c r="F36" s="62"/>
    </row>
    <row r="37" spans="1:6" s="5" customFormat="1" ht="15">
      <c r="A37" s="4">
        <v>1956</v>
      </c>
      <c r="B37" s="65">
        <f t="shared" si="0"/>
        <v>30128.816</v>
      </c>
      <c r="C37" s="61">
        <v>0</v>
      </c>
      <c r="D37" s="61">
        <v>9733.39</v>
      </c>
      <c r="E37" s="62">
        <v>20395.426</v>
      </c>
      <c r="F37" s="62"/>
    </row>
    <row r="38" spans="1:6" s="5" customFormat="1" ht="15">
      <c r="A38" s="4">
        <v>1957</v>
      </c>
      <c r="B38" s="65">
        <f t="shared" si="0"/>
        <v>43542.342000000004</v>
      </c>
      <c r="C38" s="61">
        <v>0</v>
      </c>
      <c r="D38" s="61">
        <v>16687.994</v>
      </c>
      <c r="E38" s="62">
        <v>26854.348</v>
      </c>
      <c r="F38" s="62"/>
    </row>
    <row r="39" spans="1:6" s="5" customFormat="1" ht="15">
      <c r="A39" s="4">
        <v>1958</v>
      </c>
      <c r="B39" s="65">
        <f aca="true" t="shared" si="1" ref="B39:B70">+E39+D39+C39</f>
        <v>61568.409</v>
      </c>
      <c r="C39" s="61">
        <v>0</v>
      </c>
      <c r="D39" s="61">
        <v>22977.428</v>
      </c>
      <c r="E39" s="62">
        <v>38590.981</v>
      </c>
      <c r="F39" s="62"/>
    </row>
    <row r="40" spans="1:6" s="5" customFormat="1" ht="15">
      <c r="A40" s="4">
        <v>1959</v>
      </c>
      <c r="B40" s="65">
        <f t="shared" si="1"/>
        <v>120428.966</v>
      </c>
      <c r="C40" s="61">
        <v>0</v>
      </c>
      <c r="D40" s="61">
        <v>17516.821</v>
      </c>
      <c r="E40" s="62">
        <v>102912.145</v>
      </c>
      <c r="F40" s="62"/>
    </row>
    <row r="41" spans="1:6" s="5" customFormat="1" ht="15">
      <c r="A41" s="4">
        <v>1960</v>
      </c>
      <c r="B41" s="65">
        <f t="shared" si="1"/>
        <v>218046.619</v>
      </c>
      <c r="C41" s="61">
        <v>0</v>
      </c>
      <c r="D41" s="61">
        <v>17285.398</v>
      </c>
      <c r="E41" s="62">
        <v>200761.221</v>
      </c>
      <c r="F41" s="62"/>
    </row>
    <row r="42" spans="1:6" s="5" customFormat="1" ht="15">
      <c r="A42" s="4">
        <v>1961</v>
      </c>
      <c r="B42" s="65">
        <f t="shared" si="1"/>
        <v>319384.7</v>
      </c>
      <c r="C42" s="61">
        <v>0</v>
      </c>
      <c r="D42" s="61">
        <v>37878</v>
      </c>
      <c r="E42" s="62">
        <v>281506.7</v>
      </c>
      <c r="F42" s="62"/>
    </row>
    <row r="43" spans="1:6" s="5" customFormat="1" ht="15">
      <c r="A43" s="4">
        <v>1962</v>
      </c>
      <c r="B43" s="65">
        <f t="shared" si="1"/>
        <v>660870.4</v>
      </c>
      <c r="C43" s="61">
        <v>0</v>
      </c>
      <c r="D43" s="61">
        <v>57004.6</v>
      </c>
      <c r="E43" s="62">
        <v>603865.8</v>
      </c>
      <c r="F43" s="62"/>
    </row>
    <row r="44" spans="1:6" s="5" customFormat="1" ht="15">
      <c r="A44" s="4">
        <v>1963</v>
      </c>
      <c r="B44" s="65">
        <f t="shared" si="1"/>
        <v>941679</v>
      </c>
      <c r="C44" s="61">
        <v>0</v>
      </c>
      <c r="D44" s="61">
        <v>64258.7</v>
      </c>
      <c r="E44" s="62">
        <v>877420.3</v>
      </c>
      <c r="F44" s="62"/>
    </row>
    <row r="45" spans="1:6" s="5" customFormat="1" ht="15">
      <c r="A45" s="4">
        <v>1964</v>
      </c>
      <c r="B45" s="65">
        <f t="shared" si="1"/>
        <v>1411826.5</v>
      </c>
      <c r="C45" s="61">
        <v>0</v>
      </c>
      <c r="D45" s="61">
        <v>99896.9</v>
      </c>
      <c r="E45" s="62">
        <v>1311929.6</v>
      </c>
      <c r="F45" s="62"/>
    </row>
    <row r="46" spans="1:6" s="5" customFormat="1" ht="15">
      <c r="A46" s="4">
        <v>1965</v>
      </c>
      <c r="B46" s="65">
        <f t="shared" si="1"/>
        <v>2085991.6</v>
      </c>
      <c r="C46" s="61">
        <v>0</v>
      </c>
      <c r="D46" s="61">
        <v>169352.8</v>
      </c>
      <c r="E46" s="62">
        <v>1916638.8</v>
      </c>
      <c r="F46" s="62"/>
    </row>
    <row r="47" spans="1:6" s="5" customFormat="1" ht="15">
      <c r="A47" s="4">
        <v>1966</v>
      </c>
      <c r="B47" s="65">
        <f t="shared" si="1"/>
        <v>2959044.4000000004</v>
      </c>
      <c r="C47" s="61">
        <v>0</v>
      </c>
      <c r="D47" s="61">
        <v>346513.2</v>
      </c>
      <c r="E47" s="62">
        <v>2612531.2</v>
      </c>
      <c r="F47" s="62"/>
    </row>
    <row r="48" spans="1:6" s="5" customFormat="1" ht="15">
      <c r="A48" s="4">
        <v>1967</v>
      </c>
      <c r="B48" s="65">
        <f t="shared" si="1"/>
        <v>3987936.6</v>
      </c>
      <c r="C48" s="61">
        <v>0</v>
      </c>
      <c r="D48" s="61">
        <v>409857.9</v>
      </c>
      <c r="E48" s="62">
        <v>3578078.7</v>
      </c>
      <c r="F48" s="62"/>
    </row>
    <row r="49" spans="1:6" s="5" customFormat="1" ht="15">
      <c r="A49" s="4">
        <v>1968</v>
      </c>
      <c r="B49" s="65">
        <f t="shared" si="1"/>
        <v>5068237.199999999</v>
      </c>
      <c r="C49" s="61">
        <v>0</v>
      </c>
      <c r="D49" s="61">
        <v>470527.6</v>
      </c>
      <c r="E49" s="62">
        <v>4597709.6</v>
      </c>
      <c r="F49" s="62"/>
    </row>
    <row r="50" spans="1:6" s="5" customFormat="1" ht="15">
      <c r="A50" s="4">
        <v>1969</v>
      </c>
      <c r="B50" s="65">
        <f t="shared" si="1"/>
        <v>6669321</v>
      </c>
      <c r="C50" s="61">
        <v>0</v>
      </c>
      <c r="D50" s="61">
        <v>474232.4</v>
      </c>
      <c r="E50" s="62">
        <v>6195088.6</v>
      </c>
      <c r="F50" s="62"/>
    </row>
    <row r="51" spans="1:6" s="5" customFormat="1" ht="15">
      <c r="A51" s="4">
        <v>1970</v>
      </c>
      <c r="B51" s="65">
        <f t="shared" si="1"/>
        <v>9491185.9</v>
      </c>
      <c r="C51" s="61">
        <v>0</v>
      </c>
      <c r="D51" s="61">
        <v>1107081.8</v>
      </c>
      <c r="E51" s="62">
        <v>8384104.1</v>
      </c>
      <c r="F51" s="62"/>
    </row>
    <row r="52" spans="1:6" s="5" customFormat="1" ht="15">
      <c r="A52" s="4">
        <v>1971</v>
      </c>
      <c r="B52" s="65">
        <f t="shared" si="1"/>
        <v>29779044</v>
      </c>
      <c r="C52" s="61">
        <v>0</v>
      </c>
      <c r="D52" s="61">
        <v>7165303</v>
      </c>
      <c r="E52" s="62">
        <v>22613741</v>
      </c>
      <c r="F52" s="62"/>
    </row>
    <row r="53" spans="1:6" s="5" customFormat="1" ht="15">
      <c r="A53" s="4">
        <v>1972</v>
      </c>
      <c r="B53" s="65">
        <f t="shared" si="1"/>
        <v>84865551</v>
      </c>
      <c r="C53" s="61">
        <v>0</v>
      </c>
      <c r="D53" s="61">
        <v>28330523</v>
      </c>
      <c r="E53" s="62">
        <v>56535028</v>
      </c>
      <c r="F53" s="62"/>
    </row>
    <row r="54" spans="1:6" s="5" customFormat="1" ht="15">
      <c r="A54" s="4">
        <v>1973</v>
      </c>
      <c r="B54" s="65">
        <f t="shared" si="1"/>
        <v>721563269</v>
      </c>
      <c r="C54" s="61">
        <v>0</v>
      </c>
      <c r="D54" s="61">
        <v>182514010</v>
      </c>
      <c r="E54" s="62">
        <v>539049259</v>
      </c>
      <c r="F54" s="62"/>
    </row>
    <row r="55" spans="1:6" s="5" customFormat="1" ht="15">
      <c r="A55" s="4">
        <v>1974</v>
      </c>
      <c r="B55" s="65">
        <f t="shared" si="1"/>
        <v>3707456104</v>
      </c>
      <c r="C55" s="61">
        <v>0</v>
      </c>
      <c r="D55" s="61">
        <v>306932344</v>
      </c>
      <c r="E55" s="62">
        <v>3400523760</v>
      </c>
      <c r="F55" s="62"/>
    </row>
    <row r="56" spans="1:6" s="5" customFormat="1" ht="15">
      <c r="A56" s="4">
        <v>1975</v>
      </c>
      <c r="B56" s="65">
        <f t="shared" si="1"/>
        <v>18586034335</v>
      </c>
      <c r="C56" s="61">
        <v>0</v>
      </c>
      <c r="D56" s="61">
        <v>1399809241</v>
      </c>
      <c r="E56" s="62">
        <v>17186225094</v>
      </c>
      <c r="F56" s="62"/>
    </row>
    <row r="57" spans="1:6" s="5" customFormat="1" ht="15">
      <c r="A57" s="4">
        <v>1976</v>
      </c>
      <c r="B57" s="65">
        <f t="shared" si="1"/>
        <v>43043596721</v>
      </c>
      <c r="C57" s="61">
        <v>0</v>
      </c>
      <c r="D57" s="61">
        <v>5318529283</v>
      </c>
      <c r="E57" s="62">
        <v>37725067438</v>
      </c>
      <c r="F57" s="62"/>
    </row>
    <row r="58" spans="1:6" s="5" customFormat="1" ht="15">
      <c r="A58" s="4">
        <v>1977</v>
      </c>
      <c r="B58" s="65">
        <f t="shared" si="1"/>
        <v>83012030477</v>
      </c>
      <c r="C58" s="61">
        <v>0</v>
      </c>
      <c r="D58" s="61">
        <v>15832638723</v>
      </c>
      <c r="E58" s="62">
        <v>67179391754</v>
      </c>
      <c r="F58" s="62"/>
    </row>
    <row r="59" spans="1:6" s="5" customFormat="1" ht="15">
      <c r="A59" s="4">
        <v>1978</v>
      </c>
      <c r="B59" s="65">
        <f t="shared" si="1"/>
        <v>92488040874</v>
      </c>
      <c r="C59" s="61">
        <v>0</v>
      </c>
      <c r="D59" s="61">
        <v>14501286554</v>
      </c>
      <c r="E59" s="62">
        <v>77986754320</v>
      </c>
      <c r="F59" s="62"/>
    </row>
    <row r="60" spans="1:6" s="5" customFormat="1" ht="15">
      <c r="A60" s="4">
        <v>1979</v>
      </c>
      <c r="B60" s="65">
        <f t="shared" si="1"/>
        <v>117664192000</v>
      </c>
      <c r="C60" s="61">
        <v>0</v>
      </c>
      <c r="D60" s="61">
        <v>19260325000</v>
      </c>
      <c r="E60" s="62">
        <v>98403867000</v>
      </c>
      <c r="F60" s="62"/>
    </row>
    <row r="61" spans="1:6" s="5" customFormat="1" ht="15">
      <c r="A61" s="4">
        <v>1980</v>
      </c>
      <c r="B61" s="65">
        <f t="shared" si="1"/>
        <v>108600896000</v>
      </c>
      <c r="C61" s="61">
        <v>0</v>
      </c>
      <c r="D61" s="61">
        <v>8614808000</v>
      </c>
      <c r="E61" s="62">
        <v>99986088000</v>
      </c>
      <c r="F61" s="62"/>
    </row>
    <row r="62" spans="1:6" s="5" customFormat="1" ht="15">
      <c r="A62" s="4">
        <v>1981</v>
      </c>
      <c r="B62" s="65">
        <f t="shared" si="1"/>
        <v>64824600000</v>
      </c>
      <c r="C62" s="61">
        <v>0</v>
      </c>
      <c r="D62" s="61">
        <v>14351400000</v>
      </c>
      <c r="E62" s="62">
        <v>50473200000</v>
      </c>
      <c r="F62" s="62"/>
    </row>
    <row r="63" spans="1:6" s="5" customFormat="1" ht="15">
      <c r="A63" s="4">
        <v>1982</v>
      </c>
      <c r="B63" s="65">
        <f t="shared" si="1"/>
        <v>58987000000</v>
      </c>
      <c r="C63" s="61">
        <v>0</v>
      </c>
      <c r="D63" s="61">
        <v>16795500000</v>
      </c>
      <c r="E63" s="62">
        <v>42191500000</v>
      </c>
      <c r="F63" s="62"/>
    </row>
    <row r="64" spans="1:6" s="5" customFormat="1" ht="15">
      <c r="A64" s="4">
        <v>1983</v>
      </c>
      <c r="B64" s="65">
        <f t="shared" si="1"/>
        <v>70096000000</v>
      </c>
      <c r="C64" s="61">
        <v>0</v>
      </c>
      <c r="D64" s="61">
        <v>20757400000</v>
      </c>
      <c r="E64" s="62">
        <v>49338600000</v>
      </c>
      <c r="F64" s="62"/>
    </row>
    <row r="65" spans="1:6" s="5" customFormat="1" ht="15">
      <c r="A65" s="4">
        <v>1984</v>
      </c>
      <c r="B65" s="65">
        <f t="shared" si="1"/>
        <v>188913200000</v>
      </c>
      <c r="C65" s="61">
        <v>0</v>
      </c>
      <c r="D65" s="61">
        <v>29793000000</v>
      </c>
      <c r="E65" s="62">
        <v>159120200000</v>
      </c>
      <c r="F65" s="62"/>
    </row>
    <row r="66" spans="1:6" s="5" customFormat="1" ht="15">
      <c r="A66" s="4">
        <v>1985</v>
      </c>
      <c r="B66" s="65">
        <f t="shared" si="1"/>
        <v>268100700000</v>
      </c>
      <c r="C66" s="61">
        <v>0</v>
      </c>
      <c r="D66" s="61">
        <v>60051200000</v>
      </c>
      <c r="E66" s="62">
        <v>208049500000</v>
      </c>
      <c r="F66" s="62"/>
    </row>
    <row r="67" spans="1:6" s="5" customFormat="1" ht="15">
      <c r="A67" s="4">
        <v>1986</v>
      </c>
      <c r="B67" s="65">
        <f t="shared" si="1"/>
        <v>386451000000</v>
      </c>
      <c r="C67" s="61">
        <v>0</v>
      </c>
      <c r="D67" s="61">
        <v>135519799999.99998</v>
      </c>
      <c r="E67" s="62">
        <v>250931200000</v>
      </c>
      <c r="F67" s="62"/>
    </row>
    <row r="68" spans="1:6" s="5" customFormat="1" ht="15">
      <c r="A68" s="4">
        <v>1987</v>
      </c>
      <c r="B68" s="65">
        <f t="shared" si="1"/>
        <v>459980700000</v>
      </c>
      <c r="C68" s="61">
        <v>0</v>
      </c>
      <c r="D68" s="61">
        <v>162556100000</v>
      </c>
      <c r="E68" s="62">
        <v>297424600000</v>
      </c>
      <c r="F68" s="62"/>
    </row>
    <row r="69" spans="1:6" s="5" customFormat="1" ht="15">
      <c r="A69" s="4">
        <v>1988</v>
      </c>
      <c r="B69" s="65">
        <f t="shared" si="1"/>
        <v>296194900000</v>
      </c>
      <c r="C69" s="61">
        <v>0</v>
      </c>
      <c r="D69" s="61">
        <v>153970000000</v>
      </c>
      <c r="E69" s="62">
        <v>142224900000</v>
      </c>
      <c r="F69" s="62"/>
    </row>
    <row r="70" spans="1:6" s="5" customFormat="1" ht="15">
      <c r="A70" s="4">
        <v>1989</v>
      </c>
      <c r="B70" s="65">
        <f t="shared" si="1"/>
        <v>2214928800000</v>
      </c>
      <c r="C70" s="61">
        <v>0</v>
      </c>
      <c r="D70" s="61">
        <v>166232400000</v>
      </c>
      <c r="E70" s="62">
        <v>2048696400000</v>
      </c>
      <c r="F70" s="62"/>
    </row>
    <row r="71" spans="1:6" s="5" customFormat="1" ht="15">
      <c r="A71" s="4">
        <v>1990</v>
      </c>
      <c r="B71" s="65">
        <f aca="true" t="shared" si="2" ref="B71:B102">+E71+D71+C71</f>
        <v>2794644600000</v>
      </c>
      <c r="C71" s="61">
        <v>0</v>
      </c>
      <c r="D71" s="61">
        <v>181233700000</v>
      </c>
      <c r="E71" s="62">
        <v>2613410900000</v>
      </c>
      <c r="F71" s="62"/>
    </row>
    <row r="72" spans="1:6" s="5" customFormat="1" ht="15">
      <c r="A72" s="4">
        <v>1991</v>
      </c>
      <c r="B72" s="65">
        <f t="shared" si="2"/>
        <v>3140320200000</v>
      </c>
      <c r="C72" s="61">
        <v>0</v>
      </c>
      <c r="D72" s="61">
        <v>172614500000</v>
      </c>
      <c r="E72" s="62">
        <v>2967705700000</v>
      </c>
      <c r="F72" s="62"/>
    </row>
    <row r="73" spans="1:6" s="5" customFormat="1" ht="15">
      <c r="A73" s="4">
        <v>1992</v>
      </c>
      <c r="B73" s="65">
        <f t="shared" si="2"/>
        <v>3427454500000.0005</v>
      </c>
      <c r="C73" s="61">
        <v>0</v>
      </c>
      <c r="D73" s="61">
        <v>148362200000</v>
      </c>
      <c r="E73" s="62">
        <v>3279092300000.0005</v>
      </c>
      <c r="F73" s="62"/>
    </row>
    <row r="74" spans="1:6" s="5" customFormat="1" ht="15">
      <c r="A74" s="4">
        <v>1993</v>
      </c>
      <c r="B74" s="65">
        <f t="shared" si="2"/>
        <v>3811955700000</v>
      </c>
      <c r="C74" s="61">
        <v>0</v>
      </c>
      <c r="D74" s="61">
        <v>138914100000</v>
      </c>
      <c r="E74" s="62">
        <v>3673041600000</v>
      </c>
      <c r="F74" s="62"/>
    </row>
    <row r="75" spans="1:6" s="5" customFormat="1" ht="15">
      <c r="A75" s="4">
        <v>1994</v>
      </c>
      <c r="B75" s="65">
        <f t="shared" si="2"/>
        <v>3560697700000</v>
      </c>
      <c r="C75" s="61">
        <v>0</v>
      </c>
      <c r="D75" s="61">
        <v>120755200000</v>
      </c>
      <c r="E75" s="62">
        <v>3439942500000</v>
      </c>
      <c r="F75" s="62"/>
    </row>
    <row r="76" spans="1:6" s="5" customFormat="1" ht="15">
      <c r="A76" s="4">
        <v>1995</v>
      </c>
      <c r="B76" s="65">
        <f t="shared" si="2"/>
        <v>3791896400000</v>
      </c>
      <c r="C76" s="61">
        <v>0</v>
      </c>
      <c r="D76" s="61">
        <v>105054100000</v>
      </c>
      <c r="E76" s="62">
        <v>3686842300000</v>
      </c>
      <c r="F76" s="62"/>
    </row>
    <row r="77" spans="1:6" s="5" customFormat="1" ht="15">
      <c r="A77" s="4">
        <v>1996</v>
      </c>
      <c r="B77" s="65">
        <f t="shared" si="2"/>
        <v>3815852100000</v>
      </c>
      <c r="C77" s="61">
        <v>0</v>
      </c>
      <c r="D77" s="61">
        <v>59236800000</v>
      </c>
      <c r="E77" s="62">
        <v>3756615300000</v>
      </c>
      <c r="F77" s="62"/>
    </row>
    <row r="78" spans="1:6" s="5" customFormat="1" ht="15">
      <c r="A78" s="4">
        <v>1997</v>
      </c>
      <c r="B78" s="65">
        <f t="shared" si="2"/>
        <v>3842692100000</v>
      </c>
      <c r="C78" s="61">
        <v>0</v>
      </c>
      <c r="D78" s="61">
        <v>49374300000</v>
      </c>
      <c r="E78" s="62">
        <v>3793317800000</v>
      </c>
      <c r="F78" s="62"/>
    </row>
    <row r="79" spans="1:6" s="5" customFormat="1" ht="15">
      <c r="A79" s="4">
        <v>1998</v>
      </c>
      <c r="B79" s="65">
        <f t="shared" si="2"/>
        <v>3622027100000</v>
      </c>
      <c r="C79" s="61">
        <v>0</v>
      </c>
      <c r="D79" s="61">
        <v>39154300000</v>
      </c>
      <c r="E79" s="62">
        <v>3582872800000</v>
      </c>
      <c r="F79" s="62"/>
    </row>
    <row r="80" spans="1:6" s="5" customFormat="1" ht="15">
      <c r="A80" s="4">
        <v>1999</v>
      </c>
      <c r="B80" s="65">
        <f t="shared" si="2"/>
        <v>3810878500000</v>
      </c>
      <c r="C80" s="61">
        <v>0</v>
      </c>
      <c r="D80" s="61">
        <v>27859200000</v>
      </c>
      <c r="E80" s="62">
        <v>3783019300000</v>
      </c>
      <c r="F80" s="62"/>
    </row>
    <row r="81" spans="1:6" s="5" customFormat="1" ht="15">
      <c r="A81" s="4">
        <v>2000</v>
      </c>
      <c r="B81" s="65">
        <f t="shared" si="2"/>
        <v>4231332499999.9995</v>
      </c>
      <c r="C81" s="61">
        <v>0</v>
      </c>
      <c r="D81" s="61">
        <v>16980900000.000002</v>
      </c>
      <c r="E81" s="62">
        <v>4214351599999.9995</v>
      </c>
      <c r="F81" s="62"/>
    </row>
    <row r="82" spans="1:6" s="5" customFormat="1" ht="15">
      <c r="A82" s="4">
        <v>2001</v>
      </c>
      <c r="B82" s="65">
        <f t="shared" si="2"/>
        <v>4708003300000</v>
      </c>
      <c r="C82" s="61">
        <v>0</v>
      </c>
      <c r="D82" s="61">
        <v>8661200000</v>
      </c>
      <c r="E82" s="62">
        <v>4699342100000</v>
      </c>
      <c r="F82" s="62"/>
    </row>
    <row r="83" spans="1:6" s="5" customFormat="1" ht="15">
      <c r="A83" s="4">
        <v>2002</v>
      </c>
      <c r="B83" s="65">
        <f t="shared" si="2"/>
        <v>4702196400000</v>
      </c>
      <c r="C83" s="61">
        <v>0</v>
      </c>
      <c r="D83" s="61">
        <v>7000000000</v>
      </c>
      <c r="E83" s="62">
        <v>4695196400000</v>
      </c>
      <c r="F83" s="62"/>
    </row>
    <row r="84" spans="1:6" s="5" customFormat="1" ht="15">
      <c r="A84" s="4">
        <v>2003</v>
      </c>
      <c r="B84" s="65">
        <f t="shared" si="2"/>
        <v>3698604300000</v>
      </c>
      <c r="C84" s="61">
        <v>0</v>
      </c>
      <c r="D84" s="61">
        <v>5237400000</v>
      </c>
      <c r="E84" s="62">
        <v>3693366900000</v>
      </c>
      <c r="F84" s="62"/>
    </row>
    <row r="85" spans="1:6" s="5" customFormat="1" ht="15">
      <c r="A85" s="4">
        <v>2004</v>
      </c>
      <c r="B85" s="65">
        <f t="shared" si="2"/>
        <v>2899611900000</v>
      </c>
      <c r="C85" s="61">
        <v>0</v>
      </c>
      <c r="D85" s="61">
        <v>3430400000</v>
      </c>
      <c r="E85" s="62">
        <v>2896181500000</v>
      </c>
      <c r="F85" s="62"/>
    </row>
    <row r="86" spans="1:6" s="5" customFormat="1" ht="15">
      <c r="A86" s="4">
        <v>2005</v>
      </c>
      <c r="B86" s="65">
        <f t="shared" si="2"/>
        <v>1671024600000</v>
      </c>
      <c r="C86" s="61">
        <v>0</v>
      </c>
      <c r="D86" s="61">
        <v>1963500000</v>
      </c>
      <c r="E86" s="62">
        <v>1669061100000</v>
      </c>
      <c r="F86" s="62"/>
    </row>
    <row r="87" spans="1:6" s="5" customFormat="1" ht="15">
      <c r="A87" s="4">
        <v>2006</v>
      </c>
      <c r="B87" s="65">
        <f t="shared" si="2"/>
        <v>888328500000</v>
      </c>
      <c r="C87" s="61">
        <v>0</v>
      </c>
      <c r="D87" s="61">
        <v>1232000000</v>
      </c>
      <c r="E87" s="62">
        <v>887096500000</v>
      </c>
      <c r="F87" s="62"/>
    </row>
    <row r="88" spans="1:6" s="5" customFormat="1" ht="15">
      <c r="A88" s="4">
        <v>2007</v>
      </c>
      <c r="B88" s="65">
        <f t="shared" si="2"/>
        <v>293422800000</v>
      </c>
      <c r="C88" s="61">
        <v>0</v>
      </c>
      <c r="D88" s="61">
        <v>1033500000</v>
      </c>
      <c r="E88" s="62">
        <v>292389300000</v>
      </c>
      <c r="F88" s="62"/>
    </row>
    <row r="89" spans="1:6" s="5" customFormat="1" ht="15">
      <c r="A89" s="4">
        <v>2008</v>
      </c>
      <c r="B89" s="65">
        <f t="shared" si="2"/>
        <v>245521300000</v>
      </c>
      <c r="C89" s="61">
        <v>0</v>
      </c>
      <c r="D89" s="61">
        <v>1065300000</v>
      </c>
      <c r="E89" s="62">
        <v>244456000000</v>
      </c>
      <c r="F89" s="62"/>
    </row>
    <row r="90" spans="1:6" s="5" customFormat="1" ht="15">
      <c r="A90" s="4">
        <v>2009</v>
      </c>
      <c r="B90" s="65">
        <f t="shared" si="2"/>
        <v>238413400000</v>
      </c>
      <c r="C90" s="61">
        <v>0</v>
      </c>
      <c r="D90" s="61">
        <v>0</v>
      </c>
      <c r="E90" s="62">
        <v>238413400000</v>
      </c>
      <c r="F90" s="62"/>
    </row>
    <row r="91" spans="1:6" s="5" customFormat="1" ht="15">
      <c r="A91" s="4">
        <v>2010</v>
      </c>
      <c r="B91" s="65">
        <f t="shared" si="2"/>
        <v>244249600000</v>
      </c>
      <c r="C91" s="61">
        <v>0</v>
      </c>
      <c r="D91" s="61">
        <v>0</v>
      </c>
      <c r="E91" s="62">
        <v>244249600000</v>
      </c>
      <c r="F91" s="62"/>
    </row>
    <row r="92" spans="1:6" s="5" customFormat="1" ht="15">
      <c r="A92" s="4">
        <v>2011</v>
      </c>
      <c r="B92" s="65">
        <f t="shared" si="2"/>
        <v>253794900000</v>
      </c>
      <c r="C92" s="61">
        <v>0</v>
      </c>
      <c r="D92" s="61">
        <v>0</v>
      </c>
      <c r="E92" s="62">
        <v>253794900000</v>
      </c>
      <c r="F92" s="62"/>
    </row>
    <row r="93" spans="1:6" s="5" customFormat="1" ht="15">
      <c r="A93" s="4">
        <v>2012</v>
      </c>
      <c r="B93" s="65">
        <f t="shared" si="2"/>
        <v>260018700000</v>
      </c>
      <c r="C93" s="61">
        <v>0</v>
      </c>
      <c r="D93" s="61">
        <v>0</v>
      </c>
      <c r="E93" s="62">
        <v>260018700000</v>
      </c>
      <c r="F93" s="62"/>
    </row>
    <row r="94" spans="1:6" s="5" customFormat="1" ht="15">
      <c r="A94" s="4">
        <v>2013</v>
      </c>
      <c r="B94" s="65">
        <f t="shared" si="2"/>
        <v>265355599999.99997</v>
      </c>
      <c r="C94" s="61">
        <v>0</v>
      </c>
      <c r="D94" s="61">
        <v>0</v>
      </c>
      <c r="E94" s="62">
        <v>265355599999.99997</v>
      </c>
      <c r="F94" s="62"/>
    </row>
    <row r="95" spans="1:6" s="5" customFormat="1" ht="15">
      <c r="A95" s="4">
        <v>2014</v>
      </c>
      <c r="B95" s="65">
        <f t="shared" si="2"/>
        <v>280354500000</v>
      </c>
      <c r="C95" s="61">
        <v>0</v>
      </c>
      <c r="D95" s="61">
        <v>0</v>
      </c>
      <c r="E95" s="62">
        <v>280354500000</v>
      </c>
      <c r="F95" s="62"/>
    </row>
    <row r="96" spans="1:6" s="5" customFormat="1" ht="15">
      <c r="A96" s="4">
        <v>2015</v>
      </c>
      <c r="B96" s="65">
        <f t="shared" si="2"/>
        <v>291761136922</v>
      </c>
      <c r="C96" s="61">
        <v>0</v>
      </c>
      <c r="D96" s="61">
        <v>0</v>
      </c>
      <c r="E96" s="62">
        <v>291761136922</v>
      </c>
      <c r="F96" s="6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showGridLines="0" zoomScale="80" zoomScaleNormal="80" zoomScalePageLayoutView="0" workbookViewId="0" topLeftCell="A1">
      <pane xSplit="1" ySplit="6" topLeftCell="B8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7" sqref="E7"/>
    </sheetView>
  </sheetViews>
  <sheetFormatPr defaultColWidth="11.421875" defaultRowHeight="15"/>
  <cols>
    <col min="1" max="1" width="9.28125" style="4" customWidth="1"/>
    <col min="2" max="3" width="23.00390625" style="3" bestFit="1" customWidth="1"/>
    <col min="4" max="4" width="26.57421875" style="3" customWidth="1"/>
    <col min="5" max="5" width="21.421875" style="3" customWidth="1"/>
    <col min="6" max="6" width="8.140625" style="3" customWidth="1"/>
    <col min="7" max="16384" width="11.421875" style="5" customWidth="1"/>
  </cols>
  <sheetData>
    <row r="1" ht="15">
      <c r="G1" s="3"/>
    </row>
    <row r="2" spans="1:7" ht="18.75">
      <c r="A2" s="59" t="s">
        <v>54</v>
      </c>
      <c r="G2" s="3"/>
    </row>
    <row r="3" spans="1:7" ht="18.75">
      <c r="A3" s="59" t="s">
        <v>51</v>
      </c>
      <c r="G3" s="3"/>
    </row>
    <row r="4" ht="15">
      <c r="G4" s="3"/>
    </row>
    <row r="5" ht="15">
      <c r="G5" s="3"/>
    </row>
    <row r="6" spans="1:6" s="60" customFormat="1" ht="30">
      <c r="A6" s="9" t="s">
        <v>1</v>
      </c>
      <c r="B6" s="63" t="s">
        <v>8</v>
      </c>
      <c r="C6" s="64" t="s">
        <v>60</v>
      </c>
      <c r="D6" s="64" t="s">
        <v>61</v>
      </c>
      <c r="E6" s="64" t="s">
        <v>62</v>
      </c>
      <c r="F6" s="64"/>
    </row>
    <row r="7" spans="1:6" ht="15">
      <c r="A7" s="4">
        <v>1926</v>
      </c>
      <c r="B7" s="65">
        <f>+C7+D7+E7</f>
        <v>289.74189998</v>
      </c>
      <c r="C7" s="61">
        <v>240.92968704000003</v>
      </c>
      <c r="D7" s="61">
        <v>48.81221293999999</v>
      </c>
      <c r="E7" s="62"/>
      <c r="F7" s="62"/>
    </row>
    <row r="8" spans="1:6" ht="15">
      <c r="A8" s="4">
        <v>1927</v>
      </c>
      <c r="B8" s="65">
        <f aca="true" t="shared" si="0" ref="B8:B71">+C8+D8+E8</f>
        <v>361.7358852699999</v>
      </c>
      <c r="C8" s="61">
        <v>274.8416210699999</v>
      </c>
      <c r="D8" s="61">
        <v>86.89426420000001</v>
      </c>
      <c r="E8" s="62"/>
      <c r="F8" s="62"/>
    </row>
    <row r="9" spans="1:6" ht="15">
      <c r="A9" s="4">
        <v>1928</v>
      </c>
      <c r="B9" s="65">
        <f t="shared" si="0"/>
        <v>439.48723598</v>
      </c>
      <c r="C9" s="61">
        <v>336.55211729999996</v>
      </c>
      <c r="D9" s="61">
        <v>102.93511868000002</v>
      </c>
      <c r="E9" s="62"/>
      <c r="F9" s="62"/>
    </row>
    <row r="10" spans="1:6" ht="15">
      <c r="A10" s="4">
        <v>1929</v>
      </c>
      <c r="B10" s="65">
        <f t="shared" si="0"/>
        <v>484.72963812999996</v>
      </c>
      <c r="C10" s="61">
        <v>362.11719432999996</v>
      </c>
      <c r="D10" s="61">
        <v>122.61244380000001</v>
      </c>
      <c r="E10" s="62"/>
      <c r="F10" s="62"/>
    </row>
    <row r="11" spans="1:6" ht="15">
      <c r="A11" s="4">
        <v>1930</v>
      </c>
      <c r="B11" s="65">
        <f t="shared" si="0"/>
        <v>387.07460197000006</v>
      </c>
      <c r="C11" s="61">
        <v>305.83723000000003</v>
      </c>
      <c r="D11" s="61">
        <v>81.23737197000001</v>
      </c>
      <c r="E11" s="62"/>
      <c r="F11" s="62"/>
    </row>
    <row r="12" spans="1:6" ht="15">
      <c r="A12" s="4">
        <v>1931</v>
      </c>
      <c r="B12" s="65">
        <f t="shared" si="0"/>
        <v>405.38665761</v>
      </c>
      <c r="C12" s="61">
        <v>319.147985</v>
      </c>
      <c r="D12" s="61">
        <v>86.23867261</v>
      </c>
      <c r="E12" s="62"/>
      <c r="F12" s="62"/>
    </row>
    <row r="13" spans="1:6" ht="15">
      <c r="A13" s="4">
        <v>1932</v>
      </c>
      <c r="B13" s="65">
        <f t="shared" si="0"/>
        <v>800.81815948</v>
      </c>
      <c r="C13" s="61">
        <v>487.7333039999999</v>
      </c>
      <c r="D13" s="61">
        <v>313.08485548000004</v>
      </c>
      <c r="E13" s="62"/>
      <c r="F13" s="62"/>
    </row>
    <row r="14" spans="1:6" ht="15">
      <c r="A14" s="4">
        <v>1933</v>
      </c>
      <c r="B14" s="65">
        <f t="shared" si="0"/>
        <v>860.0250676200001</v>
      </c>
      <c r="C14" s="61">
        <v>514.7</v>
      </c>
      <c r="D14" s="61">
        <v>345.32506761999997</v>
      </c>
      <c r="E14" s="62"/>
      <c r="F14" s="62"/>
    </row>
    <row r="15" spans="1:6" ht="15">
      <c r="A15" s="4">
        <v>1934</v>
      </c>
      <c r="B15" s="65">
        <f t="shared" si="0"/>
        <v>855.7789890700001</v>
      </c>
      <c r="C15" s="61">
        <v>515.6196190000001</v>
      </c>
      <c r="D15" s="61">
        <v>340.1593700700001</v>
      </c>
      <c r="E15" s="62"/>
      <c r="F15" s="62"/>
    </row>
    <row r="16" spans="1:6" ht="15">
      <c r="A16" s="4">
        <v>1935</v>
      </c>
      <c r="B16" s="65">
        <f t="shared" si="0"/>
        <v>859.38062544</v>
      </c>
      <c r="C16" s="61">
        <v>566.801154</v>
      </c>
      <c r="D16" s="61">
        <v>292.57947144</v>
      </c>
      <c r="E16" s="62"/>
      <c r="F16" s="62"/>
    </row>
    <row r="17" spans="1:6" ht="15">
      <c r="A17" s="4">
        <v>1936</v>
      </c>
      <c r="B17" s="65">
        <f t="shared" si="0"/>
        <v>936.4873413300002</v>
      </c>
      <c r="C17" s="61">
        <v>652.7121950000002</v>
      </c>
      <c r="D17" s="61">
        <v>283.77514633</v>
      </c>
      <c r="E17" s="62"/>
      <c r="F17" s="62"/>
    </row>
    <row r="18" spans="1:6" ht="15">
      <c r="A18" s="4">
        <v>1937</v>
      </c>
      <c r="B18" s="65">
        <f t="shared" si="0"/>
        <v>964.0468243099999</v>
      </c>
      <c r="C18" s="61">
        <v>708.8346749999998</v>
      </c>
      <c r="D18" s="61">
        <v>255.21214931000003</v>
      </c>
      <c r="E18" s="62"/>
      <c r="F18" s="62"/>
    </row>
    <row r="19" spans="1:6" ht="15">
      <c r="A19" s="4">
        <v>1938</v>
      </c>
      <c r="B19" s="65">
        <f t="shared" si="0"/>
        <v>1045.88019963</v>
      </c>
      <c r="C19" s="61">
        <v>794.6573980000001</v>
      </c>
      <c r="D19" s="61">
        <v>251.22280163</v>
      </c>
      <c r="E19" s="62"/>
      <c r="F19" s="62"/>
    </row>
    <row r="20" spans="1:6" ht="15">
      <c r="A20" s="4">
        <v>1939</v>
      </c>
      <c r="B20" s="65">
        <f t="shared" si="0"/>
        <v>1168.46411035</v>
      </c>
      <c r="C20" s="61">
        <v>950.1100000000001</v>
      </c>
      <c r="D20" s="61">
        <v>218.3541103499999</v>
      </c>
      <c r="E20" s="62"/>
      <c r="F20" s="62"/>
    </row>
    <row r="21" spans="1:6" ht="15">
      <c r="A21" s="4">
        <v>1940</v>
      </c>
      <c r="B21" s="65">
        <f t="shared" si="0"/>
        <v>1361.35054373</v>
      </c>
      <c r="C21" s="61">
        <v>1149.0712640000002</v>
      </c>
      <c r="D21" s="61">
        <v>212.27927972999996</v>
      </c>
      <c r="E21" s="62"/>
      <c r="F21" s="62"/>
    </row>
    <row r="22" spans="1:6" ht="15">
      <c r="A22" s="4">
        <v>1941</v>
      </c>
      <c r="B22" s="65">
        <f t="shared" si="0"/>
        <v>1732.0584158200002</v>
      </c>
      <c r="C22" s="61">
        <v>1449.449479</v>
      </c>
      <c r="D22" s="61">
        <v>282.60893682</v>
      </c>
      <c r="E22" s="62"/>
      <c r="F22" s="62"/>
    </row>
    <row r="23" spans="1:6" ht="15">
      <c r="A23" s="4">
        <v>1942</v>
      </c>
      <c r="B23" s="65">
        <f t="shared" si="0"/>
        <v>2175.6706390900003</v>
      </c>
      <c r="C23" s="61">
        <v>1856.0713750000002</v>
      </c>
      <c r="D23" s="61">
        <v>319.5992640900002</v>
      </c>
      <c r="E23" s="62"/>
      <c r="F23" s="62"/>
    </row>
    <row r="24" spans="1:6" ht="15">
      <c r="A24" s="4">
        <v>1943</v>
      </c>
      <c r="B24" s="65">
        <f t="shared" si="0"/>
        <v>2698.2345991599996</v>
      </c>
      <c r="C24" s="61">
        <v>2267.7051199999996</v>
      </c>
      <c r="D24" s="61">
        <v>430.52947916</v>
      </c>
      <c r="E24" s="62"/>
      <c r="F24" s="62"/>
    </row>
    <row r="25" spans="1:6" ht="15">
      <c r="A25" s="4">
        <v>1944</v>
      </c>
      <c r="B25" s="65">
        <f t="shared" si="0"/>
        <v>3058.56593584</v>
      </c>
      <c r="C25" s="61">
        <v>2597.747877</v>
      </c>
      <c r="D25" s="61">
        <v>460.8180588399998</v>
      </c>
      <c r="E25" s="62"/>
      <c r="F25" s="62"/>
    </row>
    <row r="26" spans="1:6" ht="15">
      <c r="A26" s="4">
        <v>1945</v>
      </c>
      <c r="B26" s="65">
        <f t="shared" si="0"/>
        <v>3443.5752124900005</v>
      </c>
      <c r="C26" s="61">
        <v>2892.3040760000004</v>
      </c>
      <c r="D26" s="61">
        <v>551.2711364900001</v>
      </c>
      <c r="E26" s="62"/>
      <c r="F26" s="62"/>
    </row>
    <row r="27" spans="1:6" ht="15">
      <c r="A27" s="4">
        <v>1946</v>
      </c>
      <c r="B27" s="65">
        <f t="shared" si="0"/>
        <v>4140.36563941</v>
      </c>
      <c r="C27" s="61">
        <v>3564.8125760000003</v>
      </c>
      <c r="D27" s="61">
        <v>575.5530634099998</v>
      </c>
      <c r="E27" s="62"/>
      <c r="F27" s="62"/>
    </row>
    <row r="28" spans="1:6" ht="15">
      <c r="A28" s="4">
        <v>1947</v>
      </c>
      <c r="B28" s="65">
        <f t="shared" si="0"/>
        <v>5147</v>
      </c>
      <c r="C28" s="61">
        <v>4151</v>
      </c>
      <c r="D28" s="61">
        <v>996</v>
      </c>
      <c r="E28" s="62"/>
      <c r="F28" s="62"/>
    </row>
    <row r="29" spans="1:6" ht="15">
      <c r="A29" s="4">
        <v>1948</v>
      </c>
      <c r="B29" s="65">
        <f t="shared" si="0"/>
        <v>6097</v>
      </c>
      <c r="C29" s="61">
        <v>4814</v>
      </c>
      <c r="D29" s="61">
        <v>1283</v>
      </c>
      <c r="E29" s="62"/>
      <c r="F29" s="62"/>
    </row>
    <row r="30" spans="1:6" ht="15">
      <c r="A30" s="4">
        <v>1949</v>
      </c>
      <c r="B30" s="65">
        <f t="shared" si="0"/>
        <v>7521</v>
      </c>
      <c r="C30" s="61">
        <v>5849</v>
      </c>
      <c r="D30" s="61">
        <v>1672</v>
      </c>
      <c r="E30" s="62"/>
      <c r="F30" s="62"/>
    </row>
    <row r="31" spans="1:6" ht="15">
      <c r="A31" s="4">
        <v>1950</v>
      </c>
      <c r="B31" s="65">
        <f t="shared" si="0"/>
        <v>8699</v>
      </c>
      <c r="C31" s="61">
        <v>7162</v>
      </c>
      <c r="D31" s="61">
        <v>1537</v>
      </c>
      <c r="E31" s="62"/>
      <c r="F31" s="62"/>
    </row>
    <row r="32" spans="1:6" ht="15">
      <c r="A32" s="4">
        <v>1951</v>
      </c>
      <c r="B32" s="65">
        <f t="shared" si="0"/>
        <v>10918</v>
      </c>
      <c r="C32" s="61">
        <v>8964</v>
      </c>
      <c r="D32" s="61">
        <v>1954</v>
      </c>
      <c r="E32" s="62"/>
      <c r="F32" s="62"/>
    </row>
    <row r="33" spans="1:6" ht="15">
      <c r="A33" s="4">
        <v>1952</v>
      </c>
      <c r="B33" s="65">
        <f t="shared" si="0"/>
        <v>15513</v>
      </c>
      <c r="C33" s="61">
        <v>12927</v>
      </c>
      <c r="D33" s="61">
        <v>2586</v>
      </c>
      <c r="E33" s="62"/>
      <c r="F33" s="62"/>
    </row>
    <row r="34" spans="1:6" ht="15">
      <c r="A34" s="4">
        <v>1953</v>
      </c>
      <c r="B34" s="65">
        <f t="shared" si="0"/>
        <v>23681</v>
      </c>
      <c r="C34" s="61">
        <v>19038</v>
      </c>
      <c r="D34" s="61">
        <v>4643</v>
      </c>
      <c r="E34" s="62"/>
      <c r="F34" s="62"/>
    </row>
    <row r="35" spans="1:6" ht="15">
      <c r="A35" s="4">
        <v>1954</v>
      </c>
      <c r="B35" s="65">
        <f t="shared" si="0"/>
        <v>32891</v>
      </c>
      <c r="C35" s="61">
        <v>25919</v>
      </c>
      <c r="D35" s="61">
        <v>6972</v>
      </c>
      <c r="E35" s="62"/>
      <c r="F35" s="62"/>
    </row>
    <row r="36" spans="1:6" ht="15">
      <c r="A36" s="4">
        <v>1955</v>
      </c>
      <c r="B36" s="65">
        <f t="shared" si="0"/>
        <v>53048</v>
      </c>
      <c r="C36" s="61">
        <v>44988</v>
      </c>
      <c r="D36" s="61">
        <v>8060.000000000001</v>
      </c>
      <c r="E36" s="62"/>
      <c r="F36" s="62"/>
    </row>
    <row r="37" spans="1:6" ht="15">
      <c r="A37" s="4">
        <v>1956</v>
      </c>
      <c r="B37" s="65">
        <f t="shared" si="0"/>
        <v>75233</v>
      </c>
      <c r="C37" s="61">
        <v>64575</v>
      </c>
      <c r="D37" s="61">
        <v>10658</v>
      </c>
      <c r="E37" s="62"/>
      <c r="F37" s="62"/>
    </row>
    <row r="38" spans="1:6" ht="15">
      <c r="A38" s="4">
        <v>1957</v>
      </c>
      <c r="B38" s="65">
        <f t="shared" si="0"/>
        <v>94709</v>
      </c>
      <c r="C38" s="61">
        <v>80688</v>
      </c>
      <c r="D38" s="61">
        <v>14021</v>
      </c>
      <c r="E38" s="62"/>
      <c r="F38" s="62"/>
    </row>
    <row r="39" spans="1:6" ht="15">
      <c r="A39" s="4">
        <v>1958</v>
      </c>
      <c r="B39" s="65">
        <f t="shared" si="0"/>
        <v>127321</v>
      </c>
      <c r="C39" s="61">
        <v>108340</v>
      </c>
      <c r="D39" s="61">
        <v>18981</v>
      </c>
      <c r="E39" s="62"/>
      <c r="F39" s="62"/>
    </row>
    <row r="40" spans="1:6" ht="15">
      <c r="A40" s="4">
        <v>1959</v>
      </c>
      <c r="B40" s="65">
        <f t="shared" si="0"/>
        <v>184220</v>
      </c>
      <c r="C40" s="61">
        <v>143567</v>
      </c>
      <c r="D40" s="61">
        <v>40653</v>
      </c>
      <c r="E40" s="62"/>
      <c r="F40" s="62"/>
    </row>
    <row r="41" spans="1:6" ht="15">
      <c r="A41" s="4">
        <v>1960</v>
      </c>
      <c r="B41" s="65">
        <f t="shared" si="0"/>
        <v>269515.5</v>
      </c>
      <c r="C41" s="61">
        <v>186017.9</v>
      </c>
      <c r="D41" s="61">
        <v>83497.6</v>
      </c>
      <c r="E41" s="62"/>
      <c r="F41" s="62"/>
    </row>
    <row r="42" spans="1:6" ht="15">
      <c r="A42" s="4">
        <v>1961</v>
      </c>
      <c r="B42" s="65">
        <f t="shared" si="0"/>
        <v>296333.2</v>
      </c>
      <c r="C42" s="61">
        <v>209081.6</v>
      </c>
      <c r="D42" s="61">
        <v>87251.6</v>
      </c>
      <c r="E42" s="62"/>
      <c r="F42" s="62"/>
    </row>
    <row r="43" spans="1:6" ht="15">
      <c r="A43" s="4">
        <v>1962</v>
      </c>
      <c r="B43" s="65">
        <f t="shared" si="0"/>
        <v>516576.1</v>
      </c>
      <c r="C43" s="61">
        <v>267126</v>
      </c>
      <c r="D43" s="61">
        <v>249450.1</v>
      </c>
      <c r="E43" s="62"/>
      <c r="F43" s="62"/>
    </row>
    <row r="44" spans="1:6" ht="15">
      <c r="A44" s="4">
        <v>1963</v>
      </c>
      <c r="B44" s="65">
        <f t="shared" si="0"/>
        <v>556866.6000000001</v>
      </c>
      <c r="C44" s="61">
        <v>362592.4000000001</v>
      </c>
      <c r="D44" s="61">
        <v>194274.2</v>
      </c>
      <c r="E44" s="62"/>
      <c r="F44" s="62"/>
    </row>
    <row r="45" spans="1:6" ht="15">
      <c r="A45" s="4">
        <v>1964</v>
      </c>
      <c r="B45" s="65">
        <f t="shared" si="0"/>
        <v>916480</v>
      </c>
      <c r="C45" s="61">
        <v>559389.6</v>
      </c>
      <c r="D45" s="61">
        <v>357090.4</v>
      </c>
      <c r="E45" s="62"/>
      <c r="F45" s="62"/>
    </row>
    <row r="46" spans="1:6" ht="15">
      <c r="A46" s="4">
        <v>1965</v>
      </c>
      <c r="B46" s="65">
        <f t="shared" si="0"/>
        <v>1290277.9</v>
      </c>
      <c r="C46" s="61">
        <v>851653.7</v>
      </c>
      <c r="D46" s="61">
        <v>438624.2</v>
      </c>
      <c r="E46" s="62"/>
      <c r="F46" s="62"/>
    </row>
    <row r="47" spans="1:6" ht="15">
      <c r="A47" s="4">
        <v>1966</v>
      </c>
      <c r="B47" s="65">
        <f t="shared" si="0"/>
        <v>2051225.5</v>
      </c>
      <c r="C47" s="61">
        <v>1243861.8</v>
      </c>
      <c r="D47" s="61">
        <v>807363.7</v>
      </c>
      <c r="E47" s="62"/>
      <c r="F47" s="62"/>
    </row>
    <row r="48" spans="1:6" ht="15">
      <c r="A48" s="4">
        <v>1967</v>
      </c>
      <c r="B48" s="65">
        <f t="shared" si="0"/>
        <v>2501935.3</v>
      </c>
      <c r="C48" s="61">
        <v>1566248.5999999999</v>
      </c>
      <c r="D48" s="61">
        <v>935686.7</v>
      </c>
      <c r="E48" s="62"/>
      <c r="F48" s="62"/>
    </row>
    <row r="49" spans="1:6" ht="15">
      <c r="A49" s="4">
        <v>1968</v>
      </c>
      <c r="B49" s="65">
        <f t="shared" si="0"/>
        <v>3448217.7</v>
      </c>
      <c r="C49" s="61">
        <v>2146965</v>
      </c>
      <c r="D49" s="61">
        <v>1301252.7</v>
      </c>
      <c r="E49" s="62"/>
      <c r="F49" s="62"/>
    </row>
    <row r="50" spans="1:6" ht="15">
      <c r="A50" s="4">
        <v>1969</v>
      </c>
      <c r="B50" s="65">
        <f t="shared" si="0"/>
        <v>5049123.2</v>
      </c>
      <c r="C50" s="61">
        <v>2955952.6000000006</v>
      </c>
      <c r="D50" s="61">
        <v>2093170.5999999999</v>
      </c>
      <c r="E50" s="62"/>
      <c r="F50" s="62"/>
    </row>
    <row r="51" spans="1:6" ht="15">
      <c r="A51" s="4">
        <v>1970</v>
      </c>
      <c r="B51" s="65">
        <f t="shared" si="0"/>
        <v>7928003.4</v>
      </c>
      <c r="C51" s="61">
        <v>5224332.7</v>
      </c>
      <c r="D51" s="61">
        <v>2703670.7</v>
      </c>
      <c r="E51" s="62"/>
      <c r="F51" s="62"/>
    </row>
    <row r="52" spans="1:6" ht="15">
      <c r="A52" s="4">
        <v>1971</v>
      </c>
      <c r="B52" s="65">
        <f t="shared" si="0"/>
        <v>21213499</v>
      </c>
      <c r="C52" s="61">
        <v>10400314</v>
      </c>
      <c r="D52" s="61">
        <v>10813185</v>
      </c>
      <c r="E52" s="62"/>
      <c r="F52" s="62"/>
    </row>
    <row r="53" spans="1:6" ht="15">
      <c r="A53" s="4">
        <v>1972</v>
      </c>
      <c r="B53" s="65">
        <f t="shared" si="0"/>
        <v>57002415</v>
      </c>
      <c r="C53" s="61">
        <v>33737741</v>
      </c>
      <c r="D53" s="61">
        <v>23264674</v>
      </c>
      <c r="E53" s="62"/>
      <c r="F53" s="62"/>
    </row>
    <row r="54" spans="1:6" ht="15">
      <c r="A54" s="4">
        <v>1973</v>
      </c>
      <c r="B54" s="65">
        <f t="shared" si="0"/>
        <v>327417927</v>
      </c>
      <c r="C54" s="61">
        <v>136039868</v>
      </c>
      <c r="D54" s="61">
        <v>191378059</v>
      </c>
      <c r="E54" s="62"/>
      <c r="F54" s="62"/>
    </row>
    <row r="55" spans="1:6" ht="15">
      <c r="A55" s="4">
        <v>1974</v>
      </c>
      <c r="B55" s="65">
        <f t="shared" si="0"/>
        <v>1058362918.0000001</v>
      </c>
      <c r="C55" s="61">
        <v>528273787.00000006</v>
      </c>
      <c r="D55" s="61">
        <v>530089131.00000006</v>
      </c>
      <c r="E55" s="62"/>
      <c r="F55" s="62"/>
    </row>
    <row r="56" spans="1:6" ht="15">
      <c r="A56" s="4">
        <v>1975</v>
      </c>
      <c r="B56" s="65">
        <f t="shared" si="0"/>
        <v>3922641130</v>
      </c>
      <c r="C56" s="61">
        <v>2039249540</v>
      </c>
      <c r="D56" s="61">
        <v>1883391590</v>
      </c>
      <c r="E56" s="62"/>
      <c r="F56" s="62"/>
    </row>
    <row r="57" spans="1:6" ht="15">
      <c r="A57" s="4">
        <v>1976</v>
      </c>
      <c r="B57" s="65">
        <f t="shared" si="0"/>
        <v>15501246231</v>
      </c>
      <c r="C57" s="61">
        <v>6562007103</v>
      </c>
      <c r="D57" s="61">
        <v>8939239128</v>
      </c>
      <c r="E57" s="62"/>
      <c r="F57" s="62"/>
    </row>
    <row r="58" spans="1:6" ht="15">
      <c r="A58" s="4">
        <v>1977</v>
      </c>
      <c r="B58" s="65">
        <f t="shared" si="0"/>
        <v>37509248495</v>
      </c>
      <c r="C58" s="61">
        <v>13967213038</v>
      </c>
      <c r="D58" s="61">
        <v>23542035457</v>
      </c>
      <c r="E58" s="62"/>
      <c r="F58" s="62"/>
    </row>
    <row r="59" spans="1:6" ht="15">
      <c r="A59" s="4">
        <v>1978</v>
      </c>
      <c r="B59" s="65">
        <f t="shared" si="0"/>
        <v>55111666425</v>
      </c>
      <c r="C59" s="61">
        <v>25325530302</v>
      </c>
      <c r="D59" s="61">
        <v>29786136123</v>
      </c>
      <c r="E59" s="62"/>
      <c r="F59" s="62"/>
    </row>
    <row r="60" spans="1:6" ht="15">
      <c r="A60" s="4">
        <v>1979</v>
      </c>
      <c r="B60" s="65">
        <f t="shared" si="0"/>
        <v>80254714000</v>
      </c>
      <c r="C60" s="61">
        <v>38305656000</v>
      </c>
      <c r="D60" s="61">
        <v>41949058000</v>
      </c>
      <c r="E60" s="62"/>
      <c r="F60" s="62"/>
    </row>
    <row r="61" spans="1:6" ht="15">
      <c r="A61" s="4">
        <v>1980</v>
      </c>
      <c r="B61" s="65">
        <f t="shared" si="0"/>
        <v>93359648000</v>
      </c>
      <c r="C61" s="61">
        <v>50508801000</v>
      </c>
      <c r="D61" s="61">
        <v>42850847000</v>
      </c>
      <c r="E61" s="62"/>
      <c r="F61" s="62"/>
    </row>
    <row r="62" spans="1:6" ht="15">
      <c r="A62" s="4">
        <v>1981</v>
      </c>
      <c r="B62" s="65">
        <f t="shared" si="0"/>
        <v>83679800000</v>
      </c>
      <c r="C62" s="61">
        <v>60828300000</v>
      </c>
      <c r="D62" s="61">
        <v>22851500000</v>
      </c>
      <c r="E62" s="62"/>
      <c r="F62" s="62"/>
    </row>
    <row r="63" spans="1:6" ht="15">
      <c r="A63" s="4">
        <v>1982</v>
      </c>
      <c r="B63" s="65">
        <f t="shared" si="0"/>
        <v>62464900000</v>
      </c>
      <c r="C63" s="61">
        <v>55598100000</v>
      </c>
      <c r="D63" s="61">
        <v>6866800000</v>
      </c>
      <c r="E63" s="62"/>
      <c r="F63" s="62"/>
    </row>
    <row r="64" spans="1:6" ht="15">
      <c r="A64" s="4">
        <v>1983</v>
      </c>
      <c r="B64" s="65">
        <f t="shared" si="0"/>
        <v>72469599999.99998</v>
      </c>
      <c r="C64" s="61">
        <v>65793199999.999985</v>
      </c>
      <c r="D64" s="61">
        <v>6676400000</v>
      </c>
      <c r="E64" s="62"/>
      <c r="F64" s="62"/>
    </row>
    <row r="65" spans="1:6" ht="15">
      <c r="A65" s="4">
        <v>1984</v>
      </c>
      <c r="B65" s="65">
        <f t="shared" si="0"/>
        <v>88235799999.99998</v>
      </c>
      <c r="C65" s="61">
        <v>79006399999.99998</v>
      </c>
      <c r="D65" s="61">
        <v>9229400000</v>
      </c>
      <c r="E65" s="62"/>
      <c r="F65" s="62"/>
    </row>
    <row r="66" spans="1:6" ht="15">
      <c r="A66" s="4">
        <v>1985</v>
      </c>
      <c r="B66" s="65">
        <f t="shared" si="0"/>
        <v>110791500000</v>
      </c>
      <c r="C66" s="61">
        <v>99989300000</v>
      </c>
      <c r="D66" s="61">
        <v>10802200000</v>
      </c>
      <c r="E66" s="62"/>
      <c r="F66" s="62"/>
    </row>
    <row r="67" spans="1:6" ht="15">
      <c r="A67" s="4">
        <v>1986</v>
      </c>
      <c r="B67" s="65">
        <f t="shared" si="0"/>
        <v>145914700000</v>
      </c>
      <c r="C67" s="61">
        <v>130384000000</v>
      </c>
      <c r="D67" s="61">
        <v>15530700000</v>
      </c>
      <c r="E67" s="62"/>
      <c r="F67" s="62"/>
    </row>
    <row r="68" spans="1:6" ht="15">
      <c r="A68" s="4">
        <v>1987</v>
      </c>
      <c r="B68" s="65">
        <f t="shared" si="0"/>
        <v>171385700000</v>
      </c>
      <c r="C68" s="61">
        <v>161486200000</v>
      </c>
      <c r="D68" s="61">
        <v>9899500000</v>
      </c>
      <c r="E68" s="62"/>
      <c r="F68" s="62"/>
    </row>
    <row r="69" spans="1:6" ht="15">
      <c r="A69" s="4">
        <v>1988</v>
      </c>
      <c r="B69" s="65">
        <f t="shared" si="0"/>
        <v>245888900000</v>
      </c>
      <c r="C69" s="61">
        <v>216649400000</v>
      </c>
      <c r="D69" s="61">
        <v>29239500000</v>
      </c>
      <c r="E69" s="62"/>
      <c r="F69" s="62"/>
    </row>
    <row r="70" spans="1:6" ht="15">
      <c r="A70" s="4">
        <v>1989</v>
      </c>
      <c r="B70" s="65">
        <f t="shared" si="0"/>
        <v>280554000000</v>
      </c>
      <c r="C70" s="61">
        <v>264829400000</v>
      </c>
      <c r="D70" s="61">
        <v>15724600000</v>
      </c>
      <c r="E70" s="62"/>
      <c r="F70" s="62"/>
    </row>
    <row r="71" spans="1:6" ht="15">
      <c r="A71" s="4">
        <v>1990</v>
      </c>
      <c r="B71" s="65">
        <f t="shared" si="0"/>
        <v>394898500000</v>
      </c>
      <c r="C71" s="61">
        <v>339124600000</v>
      </c>
      <c r="D71" s="61">
        <v>55773900000</v>
      </c>
      <c r="E71" s="62"/>
      <c r="F71" s="62"/>
    </row>
    <row r="72" spans="1:6" ht="15">
      <c r="A72" s="4">
        <v>1991</v>
      </c>
      <c r="B72" s="65">
        <f aca="true" t="shared" si="1" ref="B72:B95">+C72+D72+E72</f>
        <v>563914100000</v>
      </c>
      <c r="C72" s="61">
        <v>445634900000</v>
      </c>
      <c r="D72" s="61">
        <v>118279200000</v>
      </c>
      <c r="E72" s="62"/>
      <c r="F72" s="62"/>
    </row>
    <row r="73" spans="1:6" ht="15">
      <c r="A73" s="4">
        <v>1992</v>
      </c>
      <c r="B73" s="65">
        <f t="shared" si="1"/>
        <v>622158600000.0001</v>
      </c>
      <c r="C73" s="61">
        <v>585154300000.0001</v>
      </c>
      <c r="D73" s="61">
        <v>37004300000</v>
      </c>
      <c r="E73" s="62"/>
      <c r="F73" s="62"/>
    </row>
    <row r="74" spans="1:6" ht="15">
      <c r="A74" s="4">
        <v>1993</v>
      </c>
      <c r="B74" s="65">
        <f t="shared" si="1"/>
        <v>699803200000</v>
      </c>
      <c r="C74" s="61">
        <v>681190200000</v>
      </c>
      <c r="D74" s="61">
        <v>18613000000</v>
      </c>
      <c r="E74" s="62"/>
      <c r="F74" s="62"/>
    </row>
    <row r="75" spans="1:6" ht="15">
      <c r="A75" s="4">
        <v>1994</v>
      </c>
      <c r="B75" s="65">
        <f t="shared" si="1"/>
        <v>879136500000</v>
      </c>
      <c r="C75" s="61">
        <v>796066000000</v>
      </c>
      <c r="D75" s="61">
        <v>83070500000</v>
      </c>
      <c r="E75" s="62"/>
      <c r="F75" s="62"/>
    </row>
    <row r="76" spans="1:6" ht="15">
      <c r="A76" s="4">
        <v>1995</v>
      </c>
      <c r="B76" s="65">
        <f t="shared" si="1"/>
        <v>1068794200000</v>
      </c>
      <c r="C76" s="61">
        <v>953799300000</v>
      </c>
      <c r="D76" s="61">
        <v>114994900000</v>
      </c>
      <c r="E76" s="62"/>
      <c r="F76" s="62"/>
    </row>
    <row r="77" spans="1:6" ht="15">
      <c r="A77" s="4">
        <v>1996</v>
      </c>
      <c r="B77" s="65">
        <f t="shared" si="1"/>
        <v>1211265500000</v>
      </c>
      <c r="C77" s="61">
        <v>1077005500000</v>
      </c>
      <c r="D77" s="61">
        <v>134260000000</v>
      </c>
      <c r="E77" s="62"/>
      <c r="F77" s="62"/>
    </row>
    <row r="78" spans="1:6" ht="15">
      <c r="A78" s="4">
        <v>1997</v>
      </c>
      <c r="B78" s="65">
        <f t="shared" si="1"/>
        <v>1395157400000</v>
      </c>
      <c r="C78" s="61">
        <v>1242011000000</v>
      </c>
      <c r="D78" s="61">
        <v>153146400000</v>
      </c>
      <c r="E78" s="62"/>
      <c r="F78" s="62"/>
    </row>
    <row r="79" spans="1:6" ht="15">
      <c r="A79" s="4">
        <v>1998</v>
      </c>
      <c r="B79" s="65">
        <f t="shared" si="1"/>
        <v>1396782700000</v>
      </c>
      <c r="C79" s="61">
        <v>1253291700000</v>
      </c>
      <c r="D79" s="61">
        <v>143491000000</v>
      </c>
      <c r="E79" s="62"/>
      <c r="F79" s="62"/>
    </row>
    <row r="80" spans="1:6" ht="15">
      <c r="A80" s="4">
        <v>1999</v>
      </c>
      <c r="B80" s="65">
        <f t="shared" si="1"/>
        <v>1786938200000</v>
      </c>
      <c r="C80" s="61">
        <v>1616025800000</v>
      </c>
      <c r="D80" s="61">
        <v>170912400000</v>
      </c>
      <c r="E80" s="62"/>
      <c r="F80" s="62"/>
    </row>
    <row r="81" spans="1:6" ht="15">
      <c r="A81" s="4">
        <v>2000</v>
      </c>
      <c r="B81" s="65">
        <f t="shared" si="1"/>
        <v>1713357000000</v>
      </c>
      <c r="C81" s="61">
        <v>1499635200000</v>
      </c>
      <c r="D81" s="61">
        <v>213721800000</v>
      </c>
      <c r="E81" s="62"/>
      <c r="F81" s="62"/>
    </row>
    <row r="82" spans="1:6" ht="15">
      <c r="A82" s="4">
        <v>2001</v>
      </c>
      <c r="B82" s="65">
        <f t="shared" si="1"/>
        <v>1884061200000</v>
      </c>
      <c r="C82" s="61">
        <v>1689024200000</v>
      </c>
      <c r="D82" s="61">
        <v>195037000000</v>
      </c>
      <c r="E82" s="62"/>
      <c r="F82" s="62"/>
    </row>
    <row r="83" spans="1:6" ht="15">
      <c r="A83" s="4">
        <v>2002</v>
      </c>
      <c r="B83" s="65">
        <f t="shared" si="1"/>
        <v>1983160500000</v>
      </c>
      <c r="C83" s="61">
        <v>1786186200000</v>
      </c>
      <c r="D83" s="61">
        <v>196974300000</v>
      </c>
      <c r="E83" s="62"/>
      <c r="F83" s="62"/>
    </row>
    <row r="84" spans="1:6" ht="15">
      <c r="A84" s="4">
        <v>2003</v>
      </c>
      <c r="B84" s="65">
        <f t="shared" si="1"/>
        <v>2094416800000</v>
      </c>
      <c r="C84" s="61">
        <v>1917725400000</v>
      </c>
      <c r="D84" s="61">
        <v>176691400000</v>
      </c>
      <c r="E84" s="62"/>
      <c r="F84" s="62"/>
    </row>
    <row r="85" spans="1:6" ht="15">
      <c r="A85" s="4">
        <v>2004</v>
      </c>
      <c r="B85" s="65">
        <f t="shared" si="1"/>
        <v>2329189800000</v>
      </c>
      <c r="C85" s="61">
        <v>2143372000000</v>
      </c>
      <c r="D85" s="61">
        <v>185817800000</v>
      </c>
      <c r="E85" s="62"/>
      <c r="F85" s="62"/>
    </row>
    <row r="86" spans="1:6" ht="15">
      <c r="A86" s="4">
        <v>2005</v>
      </c>
      <c r="B86" s="65">
        <f t="shared" si="1"/>
        <v>3196543300000</v>
      </c>
      <c r="C86" s="61">
        <v>2734719200000</v>
      </c>
      <c r="D86" s="61">
        <v>193424100000</v>
      </c>
      <c r="E86" s="62">
        <v>268400000000</v>
      </c>
      <c r="F86" s="62"/>
    </row>
    <row r="87" spans="1:6" ht="15">
      <c r="A87" s="4">
        <v>2006</v>
      </c>
      <c r="B87" s="65">
        <f t="shared" si="1"/>
        <v>3806611200000</v>
      </c>
      <c r="C87" s="61">
        <v>3224073100000</v>
      </c>
      <c r="D87" s="61">
        <v>181538100000</v>
      </c>
      <c r="E87" s="62">
        <v>401000000000</v>
      </c>
      <c r="F87" s="62"/>
    </row>
    <row r="88" spans="1:6" ht="15">
      <c r="A88" s="4">
        <v>2007</v>
      </c>
      <c r="B88" s="65">
        <f t="shared" si="1"/>
        <v>3702153300000</v>
      </c>
      <c r="C88" s="61">
        <v>3345835600000</v>
      </c>
      <c r="D88" s="61">
        <v>326317700000</v>
      </c>
      <c r="E88" s="62">
        <v>30000000000</v>
      </c>
      <c r="F88" s="62"/>
    </row>
    <row r="89" spans="1:6" ht="15">
      <c r="A89" s="4">
        <v>2008</v>
      </c>
      <c r="B89" s="65">
        <f t="shared" si="1"/>
        <v>4229786800000</v>
      </c>
      <c r="C89" s="61">
        <v>3685750700000</v>
      </c>
      <c r="D89" s="61">
        <v>544036100000</v>
      </c>
      <c r="E89" s="62"/>
      <c r="F89" s="62"/>
    </row>
    <row r="90" spans="1:6" ht="15">
      <c r="A90" s="4">
        <v>2009</v>
      </c>
      <c r="B90" s="65">
        <f t="shared" si="1"/>
        <v>4582203600000</v>
      </c>
      <c r="C90" s="61">
        <v>4189634900000</v>
      </c>
      <c r="D90" s="61">
        <v>392568700000</v>
      </c>
      <c r="E90" s="62"/>
      <c r="F90" s="62"/>
    </row>
    <row r="91" spans="1:6" ht="15">
      <c r="A91" s="4">
        <v>2010</v>
      </c>
      <c r="B91" s="65">
        <f t="shared" si="1"/>
        <v>5525006600000</v>
      </c>
      <c r="C91" s="61">
        <v>4748482900000</v>
      </c>
      <c r="D91" s="61">
        <v>776523700000</v>
      </c>
      <c r="E91" s="62"/>
      <c r="F91" s="62"/>
    </row>
    <row r="92" spans="1:6" ht="15">
      <c r="A92" s="4">
        <v>2011</v>
      </c>
      <c r="B92" s="65">
        <f t="shared" si="1"/>
        <v>7760278800000</v>
      </c>
      <c r="C92" s="61">
        <v>6174849900000</v>
      </c>
      <c r="D92" s="61">
        <v>676321600000</v>
      </c>
      <c r="E92" s="62">
        <v>909107300000</v>
      </c>
      <c r="F92" s="62"/>
    </row>
    <row r="93" spans="1:6" ht="15">
      <c r="A93" s="4">
        <v>2012</v>
      </c>
      <c r="B93" s="65">
        <f t="shared" si="1"/>
        <v>8620847000000</v>
      </c>
      <c r="C93" s="61">
        <v>6925361500000</v>
      </c>
      <c r="D93" s="61">
        <v>965242200000</v>
      </c>
      <c r="E93" s="62">
        <v>730243300000</v>
      </c>
      <c r="F93" s="62"/>
    </row>
    <row r="94" spans="1:6" ht="15">
      <c r="A94" s="4">
        <v>2013</v>
      </c>
      <c r="B94" s="65">
        <f t="shared" si="1"/>
        <v>8754473900000</v>
      </c>
      <c r="C94" s="61">
        <v>6917607400000</v>
      </c>
      <c r="D94" s="61">
        <v>1139731000000</v>
      </c>
      <c r="E94" s="62">
        <v>697135500000</v>
      </c>
      <c r="F94" s="62"/>
    </row>
    <row r="95" spans="1:6" ht="15">
      <c r="A95" s="4">
        <v>2014</v>
      </c>
      <c r="B95" s="65">
        <f t="shared" si="1"/>
        <v>8183119500000</v>
      </c>
      <c r="C95" s="61">
        <v>7578075900000</v>
      </c>
      <c r="D95" s="61">
        <v>605043600000</v>
      </c>
      <c r="E95" s="62"/>
      <c r="F95" s="62"/>
    </row>
    <row r="96" spans="1:6" ht="15">
      <c r="A96" s="4">
        <v>2015</v>
      </c>
      <c r="B96" s="65">
        <f>+C96+D96+E96</f>
        <v>9151628240268</v>
      </c>
      <c r="C96" s="61">
        <v>8417693635718.999</v>
      </c>
      <c r="D96" s="61">
        <v>733934604549</v>
      </c>
      <c r="E96" s="62"/>
      <c r="F96" s="6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showGridLines="0" zoomScale="70" zoomScaleNormal="70" zoomScalePageLayoutView="0" workbookViewId="0" topLeftCell="A1">
      <pane xSplit="1" ySplit="6" topLeftCell="B19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D52" sqref="D52"/>
    </sheetView>
  </sheetViews>
  <sheetFormatPr defaultColWidth="11.421875" defaultRowHeight="15"/>
  <cols>
    <col min="1" max="1" width="9.28125" style="4" customWidth="1"/>
    <col min="2" max="5" width="25.140625" style="34" customWidth="1"/>
    <col min="6" max="6" width="21.7109375" style="34" customWidth="1"/>
    <col min="7" max="7" width="22.57421875" style="34" customWidth="1"/>
    <col min="8" max="16384" width="11.421875" style="5" customWidth="1"/>
  </cols>
  <sheetData>
    <row r="2" ht="18.75">
      <c r="A2" s="59" t="s">
        <v>56</v>
      </c>
    </row>
    <row r="3" ht="18.75">
      <c r="A3" s="59" t="s">
        <v>51</v>
      </c>
    </row>
    <row r="6" spans="1:7" s="60" customFormat="1" ht="30">
      <c r="A6" s="9" t="s">
        <v>1</v>
      </c>
      <c r="B6" s="63" t="s">
        <v>55</v>
      </c>
      <c r="C6" s="64" t="s">
        <v>29</v>
      </c>
      <c r="D6" s="64" t="s">
        <v>30</v>
      </c>
      <c r="E6" s="64" t="s">
        <v>31</v>
      </c>
      <c r="F6" s="64" t="s">
        <v>32</v>
      </c>
      <c r="G6" s="9" t="s">
        <v>33</v>
      </c>
    </row>
    <row r="7" spans="1:7" ht="15">
      <c r="A7" s="4">
        <v>1978</v>
      </c>
      <c r="B7" s="65">
        <v>13240403717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</row>
    <row r="8" spans="1:7" ht="15">
      <c r="A8" s="4">
        <v>1979</v>
      </c>
      <c r="B8" s="65">
        <v>20041668000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ht="15">
      <c r="A9" s="4">
        <v>1980</v>
      </c>
      <c r="B9" s="65">
        <v>44302476000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ht="15">
      <c r="A10" s="4">
        <v>1981</v>
      </c>
      <c r="B10" s="65">
        <v>30179100000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ht="15">
      <c r="A11" s="4">
        <v>1982</v>
      </c>
      <c r="B11" s="65">
        <v>31257900000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ht="15">
      <c r="A12" s="4">
        <v>1983</v>
      </c>
      <c r="B12" s="65">
        <v>340635900000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ht="15">
      <c r="A13" s="4">
        <v>1984</v>
      </c>
      <c r="B13" s="65">
        <v>524523500000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15">
      <c r="A14" s="4">
        <v>1985</v>
      </c>
      <c r="B14" s="65">
        <v>1100316900000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ht="15">
      <c r="A15" s="4">
        <v>1986</v>
      </c>
      <c r="B15" s="65">
        <v>1434989900000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ht="15">
      <c r="A16" s="4">
        <v>1987</v>
      </c>
      <c r="B16" s="65">
        <v>1655616600000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ht="15">
      <c r="A17" s="4">
        <v>1988</v>
      </c>
      <c r="B17" s="65">
        <v>1726189800000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ht="15">
      <c r="A18" s="4">
        <v>1989</v>
      </c>
      <c r="B18" s="65">
        <f>+C18+D18+E18+F18+G18</f>
        <v>2247512900000</v>
      </c>
      <c r="C18" s="34">
        <v>162281700000</v>
      </c>
      <c r="D18" s="34">
        <v>569822700000</v>
      </c>
      <c r="E18" s="34">
        <v>227488600000</v>
      </c>
      <c r="F18" s="34">
        <v>893677300000</v>
      </c>
      <c r="G18" s="34">
        <v>394242600000</v>
      </c>
    </row>
    <row r="19" spans="1:7" ht="15">
      <c r="A19" s="4">
        <v>1990</v>
      </c>
      <c r="B19" s="65">
        <f aca="true" t="shared" si="0" ref="B19:B43">+C19+D19+E19+F19+G19</f>
        <v>3668528300000</v>
      </c>
      <c r="C19" s="34">
        <v>213676300000</v>
      </c>
      <c r="D19" s="34">
        <v>1529747299999.9998</v>
      </c>
      <c r="E19" s="34">
        <v>444941100000</v>
      </c>
      <c r="F19" s="34">
        <v>1127390700000</v>
      </c>
      <c r="G19" s="34">
        <v>352772900000</v>
      </c>
    </row>
    <row r="20" spans="1:7" ht="15">
      <c r="A20" s="4">
        <v>1991</v>
      </c>
      <c r="B20" s="65">
        <f t="shared" si="0"/>
        <v>4537999300000</v>
      </c>
      <c r="C20" s="34">
        <v>246314900000</v>
      </c>
      <c r="D20" s="34">
        <v>2723324500000</v>
      </c>
      <c r="E20" s="34">
        <v>54097000000</v>
      </c>
      <c r="F20" s="34">
        <v>1118010000000</v>
      </c>
      <c r="G20" s="34">
        <v>396252900000</v>
      </c>
    </row>
    <row r="21" spans="1:7" ht="15">
      <c r="A21" s="4">
        <v>1992</v>
      </c>
      <c r="B21" s="65">
        <f t="shared" si="0"/>
        <v>5516256900000</v>
      </c>
      <c r="C21" s="34">
        <v>279693600000</v>
      </c>
      <c r="D21" s="34">
        <v>3723727400000.0005</v>
      </c>
      <c r="E21" s="34">
        <v>6330000000</v>
      </c>
      <c r="F21" s="34">
        <v>1124903900000</v>
      </c>
      <c r="G21" s="34">
        <v>381602000000</v>
      </c>
    </row>
    <row r="22" spans="1:7" ht="15">
      <c r="A22" s="4">
        <v>1993</v>
      </c>
      <c r="B22" s="65">
        <f t="shared" si="0"/>
        <v>6214433799999.999</v>
      </c>
      <c r="C22" s="34">
        <v>317489900000</v>
      </c>
      <c r="D22" s="34">
        <v>4444683699999.999</v>
      </c>
      <c r="E22" s="34">
        <v>0</v>
      </c>
      <c r="F22" s="34">
        <v>1162288700000</v>
      </c>
      <c r="G22" s="34">
        <v>289971500000</v>
      </c>
    </row>
    <row r="23" spans="1:7" ht="15">
      <c r="A23" s="4">
        <v>1994</v>
      </c>
      <c r="B23" s="65">
        <f t="shared" si="0"/>
        <v>7450955400000</v>
      </c>
      <c r="C23" s="34">
        <v>344889000000</v>
      </c>
      <c r="D23" s="34">
        <v>5788963700000</v>
      </c>
      <c r="E23" s="34">
        <v>0</v>
      </c>
      <c r="F23" s="34">
        <v>1099009000000</v>
      </c>
      <c r="G23" s="34">
        <v>218093700000</v>
      </c>
    </row>
    <row r="24" spans="1:7" ht="15">
      <c r="A24" s="4">
        <v>1995</v>
      </c>
      <c r="B24" s="65">
        <f t="shared" si="0"/>
        <v>8261444500000</v>
      </c>
      <c r="C24" s="34">
        <v>371442500000</v>
      </c>
      <c r="D24" s="34">
        <v>6944691400000</v>
      </c>
      <c r="E24" s="34">
        <v>5443200000</v>
      </c>
      <c r="F24" s="34">
        <v>801137200000</v>
      </c>
      <c r="G24" s="34">
        <v>138730200000</v>
      </c>
    </row>
    <row r="25" spans="1:7" ht="15">
      <c r="A25" s="4">
        <v>1996</v>
      </c>
      <c r="B25" s="65">
        <f t="shared" si="0"/>
        <v>9413422400000</v>
      </c>
      <c r="C25" s="34">
        <v>398421400000</v>
      </c>
      <c r="D25" s="34">
        <v>8339157199999.999</v>
      </c>
      <c r="E25" s="34">
        <v>5349700000</v>
      </c>
      <c r="F25" s="34">
        <v>573105500000</v>
      </c>
      <c r="G25" s="34">
        <v>97388599999.99998</v>
      </c>
    </row>
    <row r="26" spans="1:7" ht="15">
      <c r="A26" s="4">
        <v>1997</v>
      </c>
      <c r="B26" s="65">
        <f t="shared" si="0"/>
        <v>10961944000000</v>
      </c>
      <c r="C26" s="34">
        <v>421164000000</v>
      </c>
      <c r="D26" s="34">
        <v>9924595700000</v>
      </c>
      <c r="E26" s="34">
        <v>4928600000</v>
      </c>
      <c r="F26" s="34">
        <v>526152199999.99994</v>
      </c>
      <c r="G26" s="34">
        <v>85103500000</v>
      </c>
    </row>
    <row r="27" spans="1:7" ht="15">
      <c r="A27" s="4">
        <v>1998</v>
      </c>
      <c r="B27" s="65">
        <f t="shared" si="0"/>
        <v>10526254300000</v>
      </c>
      <c r="C27" s="34">
        <v>729800000000</v>
      </c>
      <c r="D27" s="34">
        <v>8584072600000</v>
      </c>
      <c r="E27" s="34">
        <v>625280500000</v>
      </c>
      <c r="F27" s="34">
        <v>515380300000</v>
      </c>
      <c r="G27" s="34">
        <v>71720900000</v>
      </c>
    </row>
    <row r="28" spans="1:7" ht="15">
      <c r="A28" s="4">
        <v>1999</v>
      </c>
      <c r="B28" s="65">
        <f t="shared" si="0"/>
        <v>11285351700000</v>
      </c>
      <c r="C28" s="34">
        <v>1727200000000</v>
      </c>
      <c r="D28" s="34">
        <v>8449697799999.999</v>
      </c>
      <c r="E28" s="34">
        <v>795130000000</v>
      </c>
      <c r="F28" s="34">
        <v>259174599999.99997</v>
      </c>
      <c r="G28" s="34">
        <v>54149300000</v>
      </c>
    </row>
    <row r="29" spans="1:7" ht="15">
      <c r="A29" s="4">
        <v>2000</v>
      </c>
      <c r="B29" s="65">
        <f t="shared" si="0"/>
        <v>13086279300000</v>
      </c>
      <c r="C29" s="34">
        <v>1607500000000</v>
      </c>
      <c r="D29" s="34">
        <v>10347288000000</v>
      </c>
      <c r="E29" s="34">
        <v>862743900000</v>
      </c>
      <c r="F29" s="34">
        <v>231007400000</v>
      </c>
      <c r="G29" s="34">
        <v>37740000000</v>
      </c>
    </row>
    <row r="30" spans="1:7" ht="15">
      <c r="A30" s="4">
        <v>2001</v>
      </c>
      <c r="B30" s="65">
        <f t="shared" si="0"/>
        <v>14009464400000</v>
      </c>
      <c r="C30" s="34">
        <v>2772000000000</v>
      </c>
      <c r="D30" s="34">
        <v>7936160100000</v>
      </c>
      <c r="E30" s="34">
        <v>3130941700000</v>
      </c>
      <c r="F30" s="34">
        <v>151181700000</v>
      </c>
      <c r="G30" s="34">
        <v>19180899999.999996</v>
      </c>
    </row>
    <row r="31" spans="1:7" ht="15">
      <c r="A31" s="4">
        <v>2002</v>
      </c>
      <c r="B31" s="65">
        <f t="shared" si="0"/>
        <v>13972138000000</v>
      </c>
      <c r="C31" s="34">
        <v>2983000000000</v>
      </c>
      <c r="D31" s="34">
        <v>6517422700000</v>
      </c>
      <c r="E31" s="34">
        <v>4243813300000</v>
      </c>
      <c r="F31" s="34">
        <v>226794500000</v>
      </c>
      <c r="G31" s="34">
        <v>1107500000</v>
      </c>
    </row>
    <row r="32" spans="1:7" ht="15">
      <c r="A32" s="4">
        <v>2003</v>
      </c>
      <c r="B32" s="65">
        <f t="shared" si="0"/>
        <v>13100379600000</v>
      </c>
      <c r="C32" s="34">
        <v>3537029100000</v>
      </c>
      <c r="D32" s="34">
        <v>5656533900000</v>
      </c>
      <c r="E32" s="34">
        <v>3818890500000</v>
      </c>
      <c r="F32" s="34">
        <v>87904900000</v>
      </c>
      <c r="G32" s="34">
        <v>21200000</v>
      </c>
    </row>
    <row r="33" spans="1:7" ht="15">
      <c r="A33" s="4">
        <v>2004</v>
      </c>
      <c r="B33" s="65">
        <f t="shared" si="0"/>
        <v>12088249000000</v>
      </c>
      <c r="C33" s="34">
        <v>3554107700000</v>
      </c>
      <c r="D33" s="34">
        <v>5244862100000</v>
      </c>
      <c r="E33" s="34">
        <v>3207525199999.9995</v>
      </c>
      <c r="F33" s="34">
        <v>80015000000</v>
      </c>
      <c r="G33" s="34">
        <v>1739000000</v>
      </c>
    </row>
    <row r="34" spans="1:7" ht="15">
      <c r="A34" s="4">
        <v>2005</v>
      </c>
      <c r="B34" s="65">
        <f t="shared" si="0"/>
        <v>10271808700000</v>
      </c>
      <c r="C34" s="34">
        <v>3614883000000</v>
      </c>
      <c r="D34" s="34">
        <v>4874969800000.001</v>
      </c>
      <c r="E34" s="34">
        <v>1699248200000</v>
      </c>
      <c r="F34" s="34">
        <v>81624500000</v>
      </c>
      <c r="G34" s="34">
        <v>1083200000</v>
      </c>
    </row>
    <row r="35" spans="1:7" ht="15">
      <c r="A35" s="4">
        <v>2006</v>
      </c>
      <c r="B35" s="65">
        <f t="shared" si="0"/>
        <v>8535441600000</v>
      </c>
      <c r="C35" s="34">
        <v>3511722500000</v>
      </c>
      <c r="D35" s="34">
        <v>4592226000000</v>
      </c>
      <c r="E35" s="34">
        <v>430914600000</v>
      </c>
      <c r="F35" s="34">
        <v>0</v>
      </c>
      <c r="G35" s="34">
        <v>578500000</v>
      </c>
    </row>
    <row r="36" spans="1:7" ht="15">
      <c r="A36" s="4">
        <v>2007</v>
      </c>
      <c r="B36" s="65">
        <f t="shared" si="0"/>
        <v>7693670300000</v>
      </c>
      <c r="C36" s="34">
        <v>2787420000000</v>
      </c>
      <c r="D36" s="34">
        <v>4708052000000</v>
      </c>
      <c r="E36" s="34">
        <v>198177200000</v>
      </c>
      <c r="F36" s="34">
        <v>0</v>
      </c>
      <c r="G36" s="34">
        <v>21100000</v>
      </c>
    </row>
    <row r="37" spans="1:7" ht="15">
      <c r="A37" s="4">
        <v>2008</v>
      </c>
      <c r="B37" s="65">
        <f t="shared" si="0"/>
        <v>10652583300000</v>
      </c>
      <c r="C37" s="34">
        <v>3376682500000</v>
      </c>
      <c r="D37" s="34">
        <v>7272938000000.001</v>
      </c>
      <c r="E37" s="34">
        <v>2941700000</v>
      </c>
      <c r="F37" s="34">
        <v>0</v>
      </c>
      <c r="G37" s="34">
        <v>21100000</v>
      </c>
    </row>
    <row r="38" spans="1:7" ht="15">
      <c r="A38" s="4">
        <v>2009</v>
      </c>
      <c r="B38" s="65">
        <f t="shared" si="0"/>
        <v>11579171800000</v>
      </c>
      <c r="C38" s="34">
        <v>5543260800000</v>
      </c>
      <c r="D38" s="34">
        <v>6035889899999.999</v>
      </c>
      <c r="E38" s="34">
        <v>0</v>
      </c>
      <c r="F38" s="34">
        <v>0</v>
      </c>
      <c r="G38" s="34">
        <v>21100000</v>
      </c>
    </row>
    <row r="39" spans="1:7" ht="15">
      <c r="A39" s="4">
        <v>2010</v>
      </c>
      <c r="B39" s="65">
        <f t="shared" si="0"/>
        <v>8915697900000</v>
      </c>
      <c r="C39" s="34">
        <v>3995106800000</v>
      </c>
      <c r="D39" s="34">
        <v>4920570000000</v>
      </c>
      <c r="E39" s="34">
        <v>0</v>
      </c>
      <c r="F39" s="34">
        <v>0</v>
      </c>
      <c r="G39" s="34">
        <v>21100000</v>
      </c>
    </row>
    <row r="40" spans="1:7" ht="15">
      <c r="A40" s="4">
        <v>2011</v>
      </c>
      <c r="B40" s="65">
        <f t="shared" si="0"/>
        <v>13186136100000</v>
      </c>
      <c r="C40" s="34">
        <v>4517959100000</v>
      </c>
      <c r="D40" s="34">
        <v>8668155900000</v>
      </c>
      <c r="E40" s="34">
        <v>0</v>
      </c>
      <c r="F40" s="34">
        <v>0</v>
      </c>
      <c r="G40" s="34">
        <v>21100000</v>
      </c>
    </row>
    <row r="41" spans="1:7" ht="15">
      <c r="A41" s="4">
        <v>2012</v>
      </c>
      <c r="B41" s="65">
        <f t="shared" si="0"/>
        <v>12905054500000</v>
      </c>
      <c r="C41" s="34">
        <v>3905683500000</v>
      </c>
      <c r="D41" s="34">
        <v>8999349900000</v>
      </c>
      <c r="E41" s="34">
        <v>0</v>
      </c>
      <c r="F41" s="34">
        <v>0</v>
      </c>
      <c r="G41" s="34">
        <v>21100000</v>
      </c>
    </row>
    <row r="42" spans="1:7" ht="15">
      <c r="A42" s="4">
        <v>2013</v>
      </c>
      <c r="B42" s="65">
        <f t="shared" si="0"/>
        <v>13033022200000</v>
      </c>
      <c r="C42" s="34">
        <v>5005942500000</v>
      </c>
      <c r="D42" s="34">
        <v>8027058600000.001</v>
      </c>
      <c r="E42" s="34">
        <v>0</v>
      </c>
      <c r="F42" s="34">
        <v>0</v>
      </c>
      <c r="G42" s="34">
        <v>21100000</v>
      </c>
    </row>
    <row r="43" spans="1:7" ht="15">
      <c r="A43" s="4">
        <v>2014</v>
      </c>
      <c r="B43" s="65">
        <f t="shared" si="0"/>
        <v>12908184900000</v>
      </c>
      <c r="C43" s="34">
        <v>4537104200000</v>
      </c>
      <c r="D43" s="34">
        <v>8371059600000.001</v>
      </c>
      <c r="E43" s="34">
        <v>0</v>
      </c>
      <c r="F43" s="34">
        <v>0</v>
      </c>
      <c r="G43" s="34">
        <v>21100000</v>
      </c>
    </row>
    <row r="44" spans="1:7" ht="15">
      <c r="A44" s="4">
        <v>2015</v>
      </c>
      <c r="B44" s="65">
        <f>+C44+D44+E44+F44+G44</f>
        <v>13494385800000</v>
      </c>
      <c r="C44" s="34">
        <v>5053317700000</v>
      </c>
      <c r="D44" s="34">
        <v>8441047000000</v>
      </c>
      <c r="E44" s="34">
        <v>0</v>
      </c>
      <c r="F44" s="34">
        <v>0</v>
      </c>
      <c r="G44" s="34">
        <v>21100000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showGridLines="0" zoomScale="70" zoomScaleNormal="70" zoomScalePageLayoutView="0" workbookViewId="0" topLeftCell="D1">
      <selection activeCell="X32" sqref="X32"/>
    </sheetView>
  </sheetViews>
  <sheetFormatPr defaultColWidth="11.421875" defaultRowHeight="15"/>
  <cols>
    <col min="1" max="1" width="9.28125" style="4" customWidth="1"/>
    <col min="2" max="2" width="24.8515625" style="3" customWidth="1"/>
    <col min="3" max="3" width="23.00390625" style="3" bestFit="1" customWidth="1"/>
    <col min="4" max="6" width="25.140625" style="3" customWidth="1"/>
    <col min="7" max="7" width="22.140625" style="5" customWidth="1"/>
    <col min="8" max="8" width="15.7109375" style="5" bestFit="1" customWidth="1"/>
    <col min="9" max="16384" width="11.421875" style="5" customWidth="1"/>
  </cols>
  <sheetData>
    <row r="2" spans="1:13" ht="60" customHeight="1">
      <c r="A2" s="6" t="s">
        <v>0</v>
      </c>
      <c r="B2" s="7"/>
      <c r="C2" s="7"/>
      <c r="D2" s="7"/>
      <c r="E2" s="7"/>
      <c r="F2" s="7"/>
      <c r="G2" s="8"/>
      <c r="H2" s="66" t="s">
        <v>14</v>
      </c>
      <c r="I2" s="67"/>
      <c r="J2" s="68"/>
      <c r="K2" s="67" t="s">
        <v>16</v>
      </c>
      <c r="L2" s="67"/>
      <c r="M2" s="68"/>
    </row>
    <row r="3" spans="1:13" ht="102" customHeight="1">
      <c r="A3" s="9" t="s">
        <v>1</v>
      </c>
      <c r="B3" s="1" t="s">
        <v>13</v>
      </c>
      <c r="C3" s="1" t="s">
        <v>10</v>
      </c>
      <c r="D3" s="1" t="s">
        <v>28</v>
      </c>
      <c r="E3" s="18" t="s">
        <v>34</v>
      </c>
      <c r="F3" s="18" t="s">
        <v>35</v>
      </c>
      <c r="G3" s="1"/>
      <c r="H3" s="12" t="str">
        <f>+E3</f>
        <v>Instrumentos de Polit. Monetaria</v>
      </c>
      <c r="I3" s="20" t="str">
        <f>+F3</f>
        <v>Otros Instrumentos</v>
      </c>
      <c r="J3" s="11" t="s">
        <v>15</v>
      </c>
      <c r="K3" s="20" t="str">
        <f>+H3</f>
        <v>Instrumentos de Polit. Monetaria</v>
      </c>
      <c r="L3" s="20" t="str">
        <f>+I3</f>
        <v>Otros Instrumentos</v>
      </c>
      <c r="M3" s="33" t="s">
        <v>15</v>
      </c>
    </row>
    <row r="4" spans="1:13" ht="15">
      <c r="A4" s="4">
        <v>1978</v>
      </c>
      <c r="B4" s="3">
        <v>497392998299.99994</v>
      </c>
      <c r="C4" s="3">
        <v>287403740546</v>
      </c>
      <c r="D4" s="3">
        <v>13240403717</v>
      </c>
      <c r="E4" s="3">
        <v>0</v>
      </c>
      <c r="F4" s="3">
        <v>0</v>
      </c>
      <c r="G4" s="19"/>
      <c r="H4" s="21">
        <f aca="true" t="shared" si="0" ref="H4:H39">+E4/$B4</f>
        <v>0</v>
      </c>
      <c r="I4" s="13">
        <f aca="true" t="shared" si="1" ref="I4:I39">+F4/$B4</f>
        <v>0</v>
      </c>
      <c r="J4" s="22">
        <f aca="true" t="shared" si="2" ref="J4:J39">+D4/$B4</f>
        <v>0.026619602130012535</v>
      </c>
      <c r="K4" s="26">
        <f aca="true" t="shared" si="3" ref="K4:K39">+E4/$C4</f>
        <v>0</v>
      </c>
      <c r="L4" s="14">
        <f aca="true" t="shared" si="4" ref="L4:L39">+F4/$C4</f>
        <v>0</v>
      </c>
      <c r="M4" s="27">
        <f aca="true" t="shared" si="5" ref="M4:M39">+D4/$C4</f>
        <v>0.04606900276192065</v>
      </c>
    </row>
    <row r="5" spans="1:13" ht="15">
      <c r="A5" s="4">
        <v>1979</v>
      </c>
      <c r="B5" s="3">
        <v>797850605000</v>
      </c>
      <c r="C5" s="3">
        <v>476811043000</v>
      </c>
      <c r="D5" s="3">
        <v>20041668000</v>
      </c>
      <c r="E5" s="3">
        <v>0</v>
      </c>
      <c r="F5" s="3">
        <v>0</v>
      </c>
      <c r="G5" s="19"/>
      <c r="H5" s="21">
        <f t="shared" si="0"/>
        <v>0</v>
      </c>
      <c r="I5" s="13">
        <f t="shared" si="1"/>
        <v>0</v>
      </c>
      <c r="J5" s="22">
        <f t="shared" si="2"/>
        <v>0.025119574860759802</v>
      </c>
      <c r="K5" s="26">
        <f t="shared" si="3"/>
        <v>0</v>
      </c>
      <c r="L5" s="14">
        <f t="shared" si="4"/>
        <v>0</v>
      </c>
      <c r="M5" s="27">
        <f t="shared" si="5"/>
        <v>0.04203272615898705</v>
      </c>
    </row>
    <row r="6" spans="1:13" ht="15">
      <c r="A6" s="4">
        <v>1980</v>
      </c>
      <c r="B6" s="3">
        <v>1115395876000</v>
      </c>
      <c r="C6" s="3">
        <v>504630066000</v>
      </c>
      <c r="D6" s="3">
        <v>44302476000</v>
      </c>
      <c r="E6" s="3">
        <v>0</v>
      </c>
      <c r="F6" s="3">
        <v>0</v>
      </c>
      <c r="G6" s="19"/>
      <c r="H6" s="21">
        <f t="shared" si="0"/>
        <v>0</v>
      </c>
      <c r="I6" s="13">
        <f t="shared" si="1"/>
        <v>0</v>
      </c>
      <c r="J6" s="22">
        <f t="shared" si="2"/>
        <v>0.03971906024870402</v>
      </c>
      <c r="K6" s="26">
        <f t="shared" si="3"/>
        <v>0</v>
      </c>
      <c r="L6" s="14">
        <f t="shared" si="4"/>
        <v>0</v>
      </c>
      <c r="M6" s="27">
        <f t="shared" si="5"/>
        <v>0.08779198661539916</v>
      </c>
    </row>
    <row r="7" spans="1:13" ht="15">
      <c r="A7" s="4">
        <v>1981</v>
      </c>
      <c r="B7" s="3">
        <v>1332261214000</v>
      </c>
      <c r="C7" s="3">
        <v>234557300000</v>
      </c>
      <c r="D7" s="3">
        <v>30179100000</v>
      </c>
      <c r="E7" s="3">
        <v>0</v>
      </c>
      <c r="F7" s="3">
        <v>0</v>
      </c>
      <c r="G7" s="19"/>
      <c r="H7" s="21">
        <f t="shared" si="0"/>
        <v>0</v>
      </c>
      <c r="I7" s="13">
        <f t="shared" si="1"/>
        <v>0</v>
      </c>
      <c r="J7" s="22">
        <f t="shared" si="2"/>
        <v>0.022652539669296416</v>
      </c>
      <c r="K7" s="26">
        <f t="shared" si="3"/>
        <v>0</v>
      </c>
      <c r="L7" s="14">
        <f t="shared" si="4"/>
        <v>0</v>
      </c>
      <c r="M7" s="27">
        <f t="shared" si="5"/>
        <v>0.12866408336044113</v>
      </c>
    </row>
    <row r="8" spans="1:13" ht="15">
      <c r="A8" s="4">
        <v>1982</v>
      </c>
      <c r="B8" s="3">
        <v>1277223650000</v>
      </c>
      <c r="C8" s="3">
        <v>459169000000</v>
      </c>
      <c r="D8" s="3">
        <v>31257900000</v>
      </c>
      <c r="E8" s="3">
        <v>0</v>
      </c>
      <c r="F8" s="3">
        <v>0</v>
      </c>
      <c r="G8" s="19"/>
      <c r="H8" s="21">
        <f t="shared" si="0"/>
        <v>0</v>
      </c>
      <c r="I8" s="13">
        <f t="shared" si="1"/>
        <v>0</v>
      </c>
      <c r="J8" s="22">
        <f t="shared" si="2"/>
        <v>0.02447331757441228</v>
      </c>
      <c r="K8" s="26">
        <f t="shared" si="3"/>
        <v>0</v>
      </c>
      <c r="L8" s="14">
        <f t="shared" si="4"/>
        <v>0</v>
      </c>
      <c r="M8" s="27">
        <f t="shared" si="5"/>
        <v>0.06807493537237923</v>
      </c>
    </row>
    <row r="9" spans="1:13" ht="15">
      <c r="A9" s="4">
        <v>1983</v>
      </c>
      <c r="B9" s="3">
        <v>1580497774000</v>
      </c>
      <c r="C9" s="3">
        <v>1238435500000</v>
      </c>
      <c r="D9" s="3">
        <v>340635900000</v>
      </c>
      <c r="E9" s="3">
        <v>0</v>
      </c>
      <c r="F9" s="3">
        <v>0</v>
      </c>
      <c r="G9" s="19"/>
      <c r="H9" s="21">
        <f t="shared" si="0"/>
        <v>0</v>
      </c>
      <c r="I9" s="13">
        <f t="shared" si="1"/>
        <v>0</v>
      </c>
      <c r="J9" s="22">
        <f t="shared" si="2"/>
        <v>0.21552444147890334</v>
      </c>
      <c r="K9" s="26">
        <f t="shared" si="3"/>
        <v>0</v>
      </c>
      <c r="L9" s="14">
        <f t="shared" si="4"/>
        <v>0</v>
      </c>
      <c r="M9" s="27">
        <f t="shared" si="5"/>
        <v>0.2750534040731229</v>
      </c>
    </row>
    <row r="10" spans="1:13" ht="15">
      <c r="A10" s="4">
        <v>1984</v>
      </c>
      <c r="B10" s="3">
        <v>1902956562000</v>
      </c>
      <c r="C10" s="3">
        <v>2267690900000</v>
      </c>
      <c r="D10" s="3">
        <v>524523500000</v>
      </c>
      <c r="E10" s="3">
        <v>0</v>
      </c>
      <c r="F10" s="3">
        <v>0</v>
      </c>
      <c r="G10" s="19"/>
      <c r="H10" s="21">
        <f t="shared" si="0"/>
        <v>0</v>
      </c>
      <c r="I10" s="13">
        <f t="shared" si="1"/>
        <v>0</v>
      </c>
      <c r="J10" s="22">
        <f t="shared" si="2"/>
        <v>0.27563608674741785</v>
      </c>
      <c r="K10" s="26">
        <f t="shared" si="3"/>
        <v>0</v>
      </c>
      <c r="L10" s="14">
        <f t="shared" si="4"/>
        <v>0</v>
      </c>
      <c r="M10" s="27">
        <f t="shared" si="5"/>
        <v>0.23130290816971572</v>
      </c>
    </row>
    <row r="11" spans="1:13" ht="15">
      <c r="A11" s="4">
        <v>1985</v>
      </c>
      <c r="B11" s="3">
        <v>2802289577000</v>
      </c>
      <c r="C11" s="3">
        <v>4105889000000.0005</v>
      </c>
      <c r="D11" s="3">
        <v>1100316900000</v>
      </c>
      <c r="E11" s="3">
        <v>0</v>
      </c>
      <c r="F11" s="3">
        <v>0</v>
      </c>
      <c r="G11" s="19"/>
      <c r="H11" s="21">
        <f t="shared" si="0"/>
        <v>0</v>
      </c>
      <c r="I11" s="13">
        <f t="shared" si="1"/>
        <v>0</v>
      </c>
      <c r="J11" s="22">
        <f t="shared" si="2"/>
        <v>0.39264924975310644</v>
      </c>
      <c r="K11" s="26">
        <f t="shared" si="3"/>
        <v>0</v>
      </c>
      <c r="L11" s="14">
        <f t="shared" si="4"/>
        <v>0</v>
      </c>
      <c r="M11" s="27">
        <f t="shared" si="5"/>
        <v>0.26798505756000707</v>
      </c>
    </row>
    <row r="12" spans="1:13" ht="15">
      <c r="A12" s="4">
        <v>1986</v>
      </c>
      <c r="B12" s="3">
        <v>3583749762000</v>
      </c>
      <c r="C12" s="3">
        <v>4874359899999.999</v>
      </c>
      <c r="D12" s="3">
        <v>1434989900000</v>
      </c>
      <c r="E12" s="3">
        <v>0</v>
      </c>
      <c r="F12" s="3">
        <v>0</v>
      </c>
      <c r="G12" s="19"/>
      <c r="H12" s="21">
        <f t="shared" si="0"/>
        <v>0</v>
      </c>
      <c r="I12" s="13">
        <f t="shared" si="1"/>
        <v>0</v>
      </c>
      <c r="J12" s="22">
        <f t="shared" si="2"/>
        <v>0.4004157642968823</v>
      </c>
      <c r="K12" s="26">
        <f t="shared" si="3"/>
        <v>0</v>
      </c>
      <c r="L12" s="14">
        <f t="shared" si="4"/>
        <v>0</v>
      </c>
      <c r="M12" s="27">
        <f t="shared" si="5"/>
        <v>0.29439555745565693</v>
      </c>
    </row>
    <row r="13" spans="1:13" ht="15">
      <c r="A13" s="4">
        <v>1987</v>
      </c>
      <c r="B13" s="3">
        <v>4796040208000</v>
      </c>
      <c r="C13" s="3">
        <v>5591961400000</v>
      </c>
      <c r="D13" s="3">
        <v>1655616600000</v>
      </c>
      <c r="E13" s="3">
        <v>0</v>
      </c>
      <c r="F13" s="3">
        <v>0</v>
      </c>
      <c r="G13" s="19"/>
      <c r="H13" s="21">
        <f t="shared" si="0"/>
        <v>0</v>
      </c>
      <c r="I13" s="13">
        <f t="shared" si="1"/>
        <v>0</v>
      </c>
      <c r="J13" s="22">
        <f t="shared" si="2"/>
        <v>0.3452049040869926</v>
      </c>
      <c r="K13" s="26">
        <f t="shared" si="3"/>
        <v>0</v>
      </c>
      <c r="L13" s="14">
        <f t="shared" si="4"/>
        <v>0</v>
      </c>
      <c r="M13" s="27">
        <f t="shared" si="5"/>
        <v>0.29607082051746636</v>
      </c>
    </row>
    <row r="14" spans="1:13" ht="15">
      <c r="A14" s="4">
        <v>1988</v>
      </c>
      <c r="B14" s="3">
        <v>6268366829000</v>
      </c>
      <c r="C14" s="3">
        <v>6041621800000</v>
      </c>
      <c r="D14" s="3">
        <v>1726189800000</v>
      </c>
      <c r="E14" s="3">
        <v>0</v>
      </c>
      <c r="F14" s="3">
        <v>0</v>
      </c>
      <c r="G14" s="19"/>
      <c r="H14" s="21">
        <f t="shared" si="0"/>
        <v>0</v>
      </c>
      <c r="I14" s="13">
        <f t="shared" si="1"/>
        <v>0</v>
      </c>
      <c r="J14" s="22">
        <f t="shared" si="2"/>
        <v>0.27538110756600076</v>
      </c>
      <c r="K14" s="26">
        <f t="shared" si="3"/>
        <v>0</v>
      </c>
      <c r="L14" s="14">
        <f t="shared" si="4"/>
        <v>0</v>
      </c>
      <c r="M14" s="27">
        <f t="shared" si="5"/>
        <v>0.28571629558142814</v>
      </c>
    </row>
    <row r="15" spans="1:13" ht="15">
      <c r="A15" s="4">
        <v>1989</v>
      </c>
      <c r="B15" s="3">
        <v>7845812929000</v>
      </c>
      <c r="C15" s="3">
        <v>5932038300000</v>
      </c>
      <c r="D15" s="3">
        <v>2247512900000</v>
      </c>
      <c r="E15" s="3">
        <v>561515200000.0001</v>
      </c>
      <c r="F15" s="3">
        <v>1685997700000.0002</v>
      </c>
      <c r="G15" s="19">
        <f aca="true" t="shared" si="6" ref="G15:G40">SUM(E15:F15)-D15</f>
        <v>0</v>
      </c>
      <c r="H15" s="21">
        <f t="shared" si="0"/>
        <v>0.07156877242439795</v>
      </c>
      <c r="I15" s="13">
        <f t="shared" si="1"/>
        <v>0.2148913968835721</v>
      </c>
      <c r="J15" s="22">
        <f t="shared" si="2"/>
        <v>0.28646016930797</v>
      </c>
      <c r="K15" s="26">
        <f t="shared" si="3"/>
        <v>0.09465805370811584</v>
      </c>
      <c r="L15" s="14">
        <f t="shared" si="4"/>
        <v>0.28421895050812473</v>
      </c>
      <c r="M15" s="27">
        <f t="shared" si="5"/>
        <v>0.3788770042162405</v>
      </c>
    </row>
    <row r="16" spans="1:13" ht="15">
      <c r="A16" s="4">
        <v>1990</v>
      </c>
      <c r="B16" s="3">
        <v>9951289892000</v>
      </c>
      <c r="C16" s="3">
        <v>8036391200000</v>
      </c>
      <c r="D16" s="3">
        <v>3668528300000</v>
      </c>
      <c r="E16" s="3">
        <v>1345619900000</v>
      </c>
      <c r="F16" s="3">
        <v>2322908400000</v>
      </c>
      <c r="G16" s="19">
        <f t="shared" si="6"/>
        <v>0</v>
      </c>
      <c r="H16" s="21">
        <f t="shared" si="0"/>
        <v>0.1352206512526346</v>
      </c>
      <c r="I16" s="13">
        <f t="shared" si="1"/>
        <v>0.23342786967420404</v>
      </c>
      <c r="J16" s="22">
        <f t="shared" si="2"/>
        <v>0.36864852092683864</v>
      </c>
      <c r="K16" s="26">
        <f t="shared" si="3"/>
        <v>0.16744081597222396</v>
      </c>
      <c r="L16" s="14">
        <f t="shared" si="4"/>
        <v>0.28904869638501424</v>
      </c>
      <c r="M16" s="27">
        <f t="shared" si="5"/>
        <v>0.45648951235723817</v>
      </c>
    </row>
    <row r="17" spans="1:13" ht="15">
      <c r="A17" s="4">
        <v>1991</v>
      </c>
      <c r="B17" s="3">
        <v>13017197110000</v>
      </c>
      <c r="C17" s="3">
        <v>8746619300000</v>
      </c>
      <c r="D17" s="3">
        <v>4537999300000</v>
      </c>
      <c r="E17" s="3">
        <v>1535401100000</v>
      </c>
      <c r="F17" s="3">
        <v>3002598199999.9995</v>
      </c>
      <c r="G17" s="19">
        <f t="shared" si="6"/>
        <v>0</v>
      </c>
      <c r="H17" s="21">
        <f t="shared" si="0"/>
        <v>0.1179517439142473</v>
      </c>
      <c r="I17" s="13">
        <f t="shared" si="1"/>
        <v>0.23066395742700707</v>
      </c>
      <c r="J17" s="22">
        <f t="shared" si="2"/>
        <v>0.3486157013412544</v>
      </c>
      <c r="K17" s="26">
        <f t="shared" si="3"/>
        <v>0.1755422349295573</v>
      </c>
      <c r="L17" s="14">
        <f t="shared" si="4"/>
        <v>0.343286714216543</v>
      </c>
      <c r="M17" s="27">
        <f t="shared" si="5"/>
        <v>0.5188289491461003</v>
      </c>
    </row>
    <row r="18" spans="1:13" ht="15">
      <c r="A18" s="4">
        <v>1992</v>
      </c>
      <c r="B18" s="3">
        <v>16466511790000</v>
      </c>
      <c r="C18" s="3">
        <v>10152909800000</v>
      </c>
      <c r="D18" s="3">
        <v>5516256900000</v>
      </c>
      <c r="E18" s="3">
        <v>2438757100000</v>
      </c>
      <c r="F18" s="3">
        <v>3077499800000.0005</v>
      </c>
      <c r="G18" s="19">
        <f t="shared" si="6"/>
        <v>0</v>
      </c>
      <c r="H18" s="21">
        <f t="shared" si="0"/>
        <v>0.14810405088229073</v>
      </c>
      <c r="I18" s="13">
        <f t="shared" si="1"/>
        <v>0.18689445823425366</v>
      </c>
      <c r="J18" s="22">
        <f t="shared" si="2"/>
        <v>0.33499850911654433</v>
      </c>
      <c r="K18" s="26">
        <f t="shared" si="3"/>
        <v>0.24020277418400782</v>
      </c>
      <c r="L18" s="14">
        <f t="shared" si="4"/>
        <v>0.3031150537750272</v>
      </c>
      <c r="M18" s="27">
        <f t="shared" si="5"/>
        <v>0.5433178279590349</v>
      </c>
    </row>
    <row r="19" spans="1:13" ht="15">
      <c r="A19" s="4">
        <v>1993</v>
      </c>
      <c r="B19" s="3">
        <v>19772776890000</v>
      </c>
      <c r="C19" s="3">
        <v>11220005000000</v>
      </c>
      <c r="D19" s="3">
        <v>6214433800000.001</v>
      </c>
      <c r="E19" s="3">
        <v>3904394400000</v>
      </c>
      <c r="F19" s="3">
        <v>2310039400000.0005</v>
      </c>
      <c r="G19" s="19">
        <f t="shared" si="6"/>
        <v>0</v>
      </c>
      <c r="H19" s="21">
        <f t="shared" si="0"/>
        <v>0.19746312931769494</v>
      </c>
      <c r="I19" s="13">
        <f t="shared" si="1"/>
        <v>0.1168292856815824</v>
      </c>
      <c r="J19" s="22">
        <f t="shared" si="2"/>
        <v>0.31429241499927735</v>
      </c>
      <c r="K19" s="26">
        <f t="shared" si="3"/>
        <v>0.34798508556814367</v>
      </c>
      <c r="L19" s="14">
        <f t="shared" si="4"/>
        <v>0.20588577277817616</v>
      </c>
      <c r="M19" s="27">
        <f t="shared" si="5"/>
        <v>0.5538708583463199</v>
      </c>
    </row>
    <row r="20" spans="1:13" ht="15">
      <c r="A20" s="4">
        <v>1994</v>
      </c>
      <c r="B20" s="3">
        <v>23797708340000</v>
      </c>
      <c r="C20" s="3">
        <v>12512050800000</v>
      </c>
      <c r="D20" s="3">
        <v>7450955400000.001</v>
      </c>
      <c r="E20" s="3">
        <v>4847003500000</v>
      </c>
      <c r="F20" s="3">
        <v>2603951900000</v>
      </c>
      <c r="G20" s="19">
        <f t="shared" si="6"/>
        <v>0</v>
      </c>
      <c r="H20" s="21">
        <f t="shared" si="0"/>
        <v>0.2036752207712787</v>
      </c>
      <c r="I20" s="13">
        <f t="shared" si="1"/>
        <v>0.10942027958310543</v>
      </c>
      <c r="J20" s="22">
        <f t="shared" si="2"/>
        <v>0.31309550035438416</v>
      </c>
      <c r="K20" s="26">
        <f t="shared" si="3"/>
        <v>0.3873868143182411</v>
      </c>
      <c r="L20" s="14">
        <f t="shared" si="4"/>
        <v>0.20811551532383485</v>
      </c>
      <c r="M20" s="27">
        <f t="shared" si="5"/>
        <v>0.5955023296420761</v>
      </c>
    </row>
    <row r="21" spans="1:13" ht="15">
      <c r="A21" s="4">
        <v>1995</v>
      </c>
      <c r="B21" s="3">
        <v>28952249930000</v>
      </c>
      <c r="C21" s="3">
        <v>13246985500000</v>
      </c>
      <c r="D21" s="3">
        <v>8261444500000</v>
      </c>
      <c r="E21" s="3">
        <v>5706194000000</v>
      </c>
      <c r="F21" s="3">
        <v>2555250500000</v>
      </c>
      <c r="G21" s="19">
        <f t="shared" si="6"/>
        <v>0</v>
      </c>
      <c r="H21" s="21">
        <f t="shared" si="0"/>
        <v>0.19708982941900158</v>
      </c>
      <c r="I21" s="13">
        <f t="shared" si="1"/>
        <v>0.08825740680527484</v>
      </c>
      <c r="J21" s="22">
        <f t="shared" si="2"/>
        <v>0.2853472362242764</v>
      </c>
      <c r="K21" s="26">
        <f t="shared" si="3"/>
        <v>0.4307541515765983</v>
      </c>
      <c r="L21" s="14">
        <f t="shared" si="4"/>
        <v>0.19289297931216123</v>
      </c>
      <c r="M21" s="27">
        <f t="shared" si="5"/>
        <v>0.6236471308887596</v>
      </c>
    </row>
    <row r="22" spans="1:13" ht="15">
      <c r="A22" s="4">
        <v>1996</v>
      </c>
      <c r="B22" s="3">
        <v>32049653080000</v>
      </c>
      <c r="C22" s="3">
        <v>13612280000000</v>
      </c>
      <c r="D22" s="3">
        <v>9413422399999.996</v>
      </c>
      <c r="E22" s="3">
        <v>8954448700000</v>
      </c>
      <c r="F22" s="3">
        <v>458973699999.99994</v>
      </c>
      <c r="G22" s="19">
        <f t="shared" si="6"/>
        <v>0</v>
      </c>
      <c r="H22" s="21">
        <f t="shared" si="0"/>
        <v>0.27939299928297384</v>
      </c>
      <c r="I22" s="13">
        <f t="shared" si="1"/>
        <v>0.014320707274251717</v>
      </c>
      <c r="J22" s="22">
        <f t="shared" si="2"/>
        <v>0.29371370655722545</v>
      </c>
      <c r="K22" s="26">
        <f t="shared" si="3"/>
        <v>0.6578213715850688</v>
      </c>
      <c r="L22" s="14">
        <f t="shared" si="4"/>
        <v>0.03371762114796345</v>
      </c>
      <c r="M22" s="27">
        <f t="shared" si="5"/>
        <v>0.691538992733032</v>
      </c>
    </row>
    <row r="23" spans="1:13" ht="15">
      <c r="A23" s="4">
        <v>1997</v>
      </c>
      <c r="B23" s="3">
        <v>35593645340000</v>
      </c>
      <c r="C23" s="3">
        <v>15590360000000</v>
      </c>
      <c r="D23" s="3">
        <v>10961943999999.998</v>
      </c>
      <c r="E23" s="3">
        <v>10141693900000</v>
      </c>
      <c r="F23" s="3">
        <v>820250100000</v>
      </c>
      <c r="G23" s="19">
        <f t="shared" si="6"/>
        <v>0</v>
      </c>
      <c r="H23" s="21">
        <f t="shared" si="0"/>
        <v>0.284929902602665</v>
      </c>
      <c r="I23" s="13">
        <f t="shared" si="1"/>
        <v>0.023044846690041216</v>
      </c>
      <c r="J23" s="22">
        <f t="shared" si="2"/>
        <v>0.30797474929270613</v>
      </c>
      <c r="K23" s="26">
        <f t="shared" si="3"/>
        <v>0.6505105655032982</v>
      </c>
      <c r="L23" s="14">
        <f t="shared" si="4"/>
        <v>0.052612646532857486</v>
      </c>
      <c r="M23" s="27">
        <f t="shared" si="5"/>
        <v>0.7031232120361556</v>
      </c>
    </row>
    <row r="24" spans="1:13" ht="15">
      <c r="A24" s="4">
        <v>1998</v>
      </c>
      <c r="B24" s="3">
        <v>37542890440000</v>
      </c>
      <c r="C24" s="3">
        <v>14886600000000</v>
      </c>
      <c r="D24" s="3">
        <v>10526254300000.002</v>
      </c>
      <c r="E24" s="3">
        <v>9708249800000</v>
      </c>
      <c r="F24" s="3">
        <v>818004500000</v>
      </c>
      <c r="G24" s="19">
        <f t="shared" si="6"/>
        <v>0</v>
      </c>
      <c r="H24" s="21">
        <f t="shared" si="0"/>
        <v>0.25859089926801065</v>
      </c>
      <c r="I24" s="13">
        <f t="shared" si="1"/>
        <v>0.021788532806426078</v>
      </c>
      <c r="J24" s="22">
        <f t="shared" si="2"/>
        <v>0.2803794320744368</v>
      </c>
      <c r="K24" s="26">
        <f t="shared" si="3"/>
        <v>0.6521468837746698</v>
      </c>
      <c r="L24" s="14">
        <f t="shared" si="4"/>
        <v>0.05494904813725095</v>
      </c>
      <c r="M24" s="27">
        <f t="shared" si="5"/>
        <v>0.7070959319119209</v>
      </c>
    </row>
    <row r="25" spans="1:13" ht="15">
      <c r="A25" s="4">
        <v>1999</v>
      </c>
      <c r="B25" s="3">
        <v>38306646540000</v>
      </c>
      <c r="C25" s="3">
        <v>15153700000000</v>
      </c>
      <c r="D25" s="3">
        <v>11285351700000.004</v>
      </c>
      <c r="E25" s="3">
        <v>10740352900000</v>
      </c>
      <c r="F25" s="3">
        <v>544998800000.00006</v>
      </c>
      <c r="G25" s="19">
        <f t="shared" si="6"/>
        <v>0</v>
      </c>
      <c r="H25" s="21">
        <f t="shared" si="0"/>
        <v>0.2803783121235858</v>
      </c>
      <c r="I25" s="13">
        <f t="shared" si="1"/>
        <v>0.01422726469754823</v>
      </c>
      <c r="J25" s="22">
        <f t="shared" si="2"/>
        <v>0.2946055768211342</v>
      </c>
      <c r="K25" s="26">
        <f t="shared" si="3"/>
        <v>0.708761088051103</v>
      </c>
      <c r="L25" s="14">
        <f t="shared" si="4"/>
        <v>0.03596473468525839</v>
      </c>
      <c r="M25" s="27">
        <f t="shared" si="5"/>
        <v>0.7447258227363617</v>
      </c>
    </row>
    <row r="26" spans="1:13" ht="15">
      <c r="A26" s="4">
        <v>2000</v>
      </c>
      <c r="B26" s="3">
        <v>42094988810000</v>
      </c>
      <c r="C26" s="3">
        <v>16310397215000</v>
      </c>
      <c r="D26" s="3">
        <v>13086279300000</v>
      </c>
      <c r="E26" s="3">
        <v>12574984900000.002</v>
      </c>
      <c r="F26" s="3">
        <v>511294399999.99994</v>
      </c>
      <c r="G26" s="19">
        <f t="shared" si="6"/>
        <v>0</v>
      </c>
      <c r="H26" s="21">
        <f t="shared" si="0"/>
        <v>0.298728785907474</v>
      </c>
      <c r="I26" s="13">
        <f t="shared" si="1"/>
        <v>0.012146205865685796</v>
      </c>
      <c r="J26" s="22">
        <f t="shared" si="2"/>
        <v>0.3108749917731597</v>
      </c>
      <c r="K26" s="26">
        <f t="shared" si="3"/>
        <v>0.7709796845680317</v>
      </c>
      <c r="L26" s="14">
        <f t="shared" si="4"/>
        <v>0.03134775893316587</v>
      </c>
      <c r="M26" s="27">
        <f t="shared" si="5"/>
        <v>0.8023274435011974</v>
      </c>
    </row>
    <row r="27" spans="1:13" ht="15">
      <c r="A27" s="4">
        <v>2001</v>
      </c>
      <c r="B27" s="3">
        <v>45287944570000</v>
      </c>
      <c r="C27" s="3">
        <v>17106900000000.002</v>
      </c>
      <c r="D27" s="3">
        <v>14009464399999.998</v>
      </c>
      <c r="E27" s="3">
        <v>13507010399999.998</v>
      </c>
      <c r="F27" s="3">
        <v>502454000000</v>
      </c>
      <c r="G27" s="19">
        <f t="shared" si="6"/>
        <v>0</v>
      </c>
      <c r="H27" s="21">
        <f t="shared" si="0"/>
        <v>0.2982473708675977</v>
      </c>
      <c r="I27" s="13">
        <f t="shared" si="1"/>
        <v>0.011094652335642531</v>
      </c>
      <c r="J27" s="22">
        <f t="shared" si="2"/>
        <v>0.3093420232032402</v>
      </c>
      <c r="K27" s="26">
        <f t="shared" si="3"/>
        <v>0.7895650526980339</v>
      </c>
      <c r="L27" s="14">
        <f t="shared" si="4"/>
        <v>0.029371423226885053</v>
      </c>
      <c r="M27" s="27">
        <f t="shared" si="5"/>
        <v>0.818936475924919</v>
      </c>
    </row>
    <row r="28" spans="1:13" ht="15">
      <c r="A28" s="4">
        <v>2002</v>
      </c>
      <c r="B28" s="3">
        <v>48328914980000</v>
      </c>
      <c r="C28" s="3">
        <v>16880200000000</v>
      </c>
      <c r="D28" s="3">
        <v>13972138000000</v>
      </c>
      <c r="E28" s="3">
        <v>13592273100000</v>
      </c>
      <c r="F28" s="3">
        <v>379864900000</v>
      </c>
      <c r="G28" s="19">
        <f t="shared" si="6"/>
        <v>0</v>
      </c>
      <c r="H28" s="21">
        <f t="shared" si="0"/>
        <v>0.28124515325090377</v>
      </c>
      <c r="I28" s="13">
        <f t="shared" si="1"/>
        <v>0.007859992308066503</v>
      </c>
      <c r="J28" s="22">
        <f t="shared" si="2"/>
        <v>0.2891051455589703</v>
      </c>
      <c r="K28" s="26">
        <f t="shared" si="3"/>
        <v>0.8052199085318894</v>
      </c>
      <c r="L28" s="14">
        <f t="shared" si="4"/>
        <v>0.022503578156656913</v>
      </c>
      <c r="M28" s="27">
        <f t="shared" si="5"/>
        <v>0.8277234866885463</v>
      </c>
    </row>
    <row r="29" spans="1:13" ht="15">
      <c r="A29" s="4">
        <v>2003</v>
      </c>
      <c r="B29" s="3">
        <v>52643473740000</v>
      </c>
      <c r="C29" s="3">
        <v>16351400000000</v>
      </c>
      <c r="D29" s="3">
        <v>13100379599999.998</v>
      </c>
      <c r="E29" s="3">
        <v>13097914000000</v>
      </c>
      <c r="F29" s="3">
        <v>2465600000</v>
      </c>
      <c r="G29" s="19">
        <f t="shared" si="6"/>
        <v>0</v>
      </c>
      <c r="H29" s="21">
        <f t="shared" si="0"/>
        <v>0.24880413600153126</v>
      </c>
      <c r="I29" s="13">
        <f t="shared" si="1"/>
        <v>4.683581505615134E-05</v>
      </c>
      <c r="J29" s="22">
        <f t="shared" si="2"/>
        <v>0.24885097181658739</v>
      </c>
      <c r="K29" s="26">
        <f t="shared" si="3"/>
        <v>0.8010270680186407</v>
      </c>
      <c r="L29" s="14">
        <f t="shared" si="4"/>
        <v>0.00015078831170419659</v>
      </c>
      <c r="M29" s="27">
        <f t="shared" si="5"/>
        <v>0.8011778563303447</v>
      </c>
    </row>
    <row r="30" spans="1:13" ht="15">
      <c r="A30" s="4">
        <v>2004</v>
      </c>
      <c r="B30" s="3">
        <v>60546524560000</v>
      </c>
      <c r="C30" s="3">
        <v>16131599800000</v>
      </c>
      <c r="D30" s="3">
        <v>12088249000000</v>
      </c>
      <c r="E30" s="3">
        <v>12088249000000</v>
      </c>
      <c r="F30" s="3">
        <v>0</v>
      </c>
      <c r="G30" s="19">
        <f t="shared" si="6"/>
        <v>0</v>
      </c>
      <c r="H30" s="21">
        <f t="shared" si="0"/>
        <v>0.19965223582768762</v>
      </c>
      <c r="I30" s="13">
        <f t="shared" si="1"/>
        <v>0</v>
      </c>
      <c r="J30" s="22">
        <f t="shared" si="2"/>
        <v>0.19965223582768762</v>
      </c>
      <c r="K30" s="26">
        <f t="shared" si="3"/>
        <v>0.7493521504296182</v>
      </c>
      <c r="L30" s="14">
        <f t="shared" si="4"/>
        <v>0</v>
      </c>
      <c r="M30" s="27">
        <f t="shared" si="5"/>
        <v>0.7493521504296182</v>
      </c>
    </row>
    <row r="31" spans="1:13" ht="15">
      <c r="A31" s="4">
        <v>2005</v>
      </c>
      <c r="B31" s="3">
        <v>68882767620000</v>
      </c>
      <c r="C31" s="3">
        <v>15958913375886.002</v>
      </c>
      <c r="D31" s="3">
        <v>10271808700000</v>
      </c>
      <c r="E31" s="3">
        <v>10271808700000</v>
      </c>
      <c r="F31" s="3">
        <v>0</v>
      </c>
      <c r="G31" s="19">
        <f t="shared" si="6"/>
        <v>0</v>
      </c>
      <c r="H31" s="21">
        <f t="shared" si="0"/>
        <v>0.14912015087235833</v>
      </c>
      <c r="I31" s="13">
        <f t="shared" si="1"/>
        <v>0</v>
      </c>
      <c r="J31" s="22">
        <f t="shared" si="2"/>
        <v>0.14912015087235833</v>
      </c>
      <c r="K31" s="26">
        <f t="shared" si="3"/>
        <v>0.6436408581251374</v>
      </c>
      <c r="L31" s="14">
        <f t="shared" si="4"/>
        <v>0</v>
      </c>
      <c r="M31" s="27">
        <f t="shared" si="5"/>
        <v>0.6436408581251374</v>
      </c>
    </row>
    <row r="32" spans="1:13" ht="15">
      <c r="A32" s="4">
        <v>2006</v>
      </c>
      <c r="B32" s="3">
        <v>82018170640000</v>
      </c>
      <c r="C32" s="3">
        <v>15972813923883.002</v>
      </c>
      <c r="D32" s="3">
        <v>8535441600000</v>
      </c>
      <c r="E32" s="3">
        <v>8535441600000</v>
      </c>
      <c r="F32" s="3">
        <v>0</v>
      </c>
      <c r="G32" s="19">
        <f t="shared" si="6"/>
        <v>0</v>
      </c>
      <c r="H32" s="21">
        <f t="shared" si="0"/>
        <v>0.10406769052999693</v>
      </c>
      <c r="I32" s="13">
        <f t="shared" si="1"/>
        <v>0</v>
      </c>
      <c r="J32" s="22">
        <f t="shared" si="2"/>
        <v>0.10406769052999693</v>
      </c>
      <c r="K32" s="26">
        <f t="shared" si="3"/>
        <v>0.5343730691833558</v>
      </c>
      <c r="L32" s="14">
        <f t="shared" si="4"/>
        <v>0</v>
      </c>
      <c r="M32" s="27">
        <f t="shared" si="5"/>
        <v>0.5343730691833558</v>
      </c>
    </row>
    <row r="33" spans="1:13" ht="15">
      <c r="A33" s="4">
        <v>2007</v>
      </c>
      <c r="B33" s="3">
        <v>90428771040000</v>
      </c>
      <c r="C33" s="3">
        <v>13117199967125</v>
      </c>
      <c r="D33" s="3">
        <v>7693670300000</v>
      </c>
      <c r="E33" s="3">
        <v>7693670300000</v>
      </c>
      <c r="F33" s="3">
        <v>0</v>
      </c>
      <c r="G33" s="19">
        <f t="shared" si="6"/>
        <v>0</v>
      </c>
      <c r="H33" s="21">
        <f t="shared" si="0"/>
        <v>0.08507989450168248</v>
      </c>
      <c r="I33" s="13">
        <f t="shared" si="1"/>
        <v>0</v>
      </c>
      <c r="J33" s="22">
        <f t="shared" si="2"/>
        <v>0.08507989450168248</v>
      </c>
      <c r="K33" s="26">
        <f t="shared" si="3"/>
        <v>0.5865329734457255</v>
      </c>
      <c r="L33" s="14">
        <f t="shared" si="4"/>
        <v>0</v>
      </c>
      <c r="M33" s="27">
        <f t="shared" si="5"/>
        <v>0.5865329734457255</v>
      </c>
    </row>
    <row r="34" spans="1:13" ht="15">
      <c r="A34" s="4">
        <v>2008</v>
      </c>
      <c r="B34" s="3">
        <v>93847932008135.72</v>
      </c>
      <c r="C34" s="3">
        <v>17614944749876</v>
      </c>
      <c r="D34" s="3">
        <v>10652583299999.998</v>
      </c>
      <c r="E34" s="3">
        <v>10652583299999.998</v>
      </c>
      <c r="F34" s="3">
        <v>0</v>
      </c>
      <c r="G34" s="19">
        <f t="shared" si="6"/>
        <v>0</v>
      </c>
      <c r="H34" s="21">
        <f t="shared" si="0"/>
        <v>0.11350898279864623</v>
      </c>
      <c r="I34" s="13">
        <f t="shared" si="1"/>
        <v>0</v>
      </c>
      <c r="J34" s="22">
        <f t="shared" si="2"/>
        <v>0.11350898279864623</v>
      </c>
      <c r="K34" s="26">
        <f t="shared" si="3"/>
        <v>0.6047469039081139</v>
      </c>
      <c r="L34" s="14">
        <f t="shared" si="4"/>
        <v>0</v>
      </c>
      <c r="M34" s="27">
        <f t="shared" si="5"/>
        <v>0.6047469039081139</v>
      </c>
    </row>
    <row r="35" spans="1:13" ht="15">
      <c r="A35" s="4">
        <v>2009</v>
      </c>
      <c r="B35" s="3">
        <v>96443760984039.39</v>
      </c>
      <c r="C35" s="3">
        <v>20572000000000</v>
      </c>
      <c r="D35" s="3">
        <v>11579171799999.998</v>
      </c>
      <c r="E35" s="3">
        <v>11579171800000</v>
      </c>
      <c r="F35" s="3">
        <v>0</v>
      </c>
      <c r="G35" s="19">
        <f t="shared" si="6"/>
        <v>0</v>
      </c>
      <c r="H35" s="21">
        <f t="shared" si="0"/>
        <v>0.12006138792032647</v>
      </c>
      <c r="I35" s="13">
        <f t="shared" si="1"/>
        <v>0</v>
      </c>
      <c r="J35" s="22">
        <f t="shared" si="2"/>
        <v>0.12006138792032645</v>
      </c>
      <c r="K35" s="26">
        <f t="shared" si="3"/>
        <v>0.5628607719230021</v>
      </c>
      <c r="L35" s="14">
        <f t="shared" si="4"/>
        <v>0</v>
      </c>
      <c r="M35" s="27">
        <f t="shared" si="5"/>
        <v>0.562860771923002</v>
      </c>
    </row>
    <row r="36" spans="1:13" ht="15">
      <c r="A36" s="4">
        <v>2010</v>
      </c>
      <c r="B36" s="3">
        <v>110998728917933</v>
      </c>
      <c r="C36" s="3">
        <v>18540000000000</v>
      </c>
      <c r="D36" s="3">
        <v>8915697900000</v>
      </c>
      <c r="E36" s="3">
        <v>8915697900000</v>
      </c>
      <c r="F36" s="3">
        <v>0</v>
      </c>
      <c r="G36" s="19">
        <f t="shared" si="6"/>
        <v>0</v>
      </c>
      <c r="H36" s="21">
        <f t="shared" si="0"/>
        <v>0.08032252249115239</v>
      </c>
      <c r="I36" s="13">
        <f t="shared" si="1"/>
        <v>0</v>
      </c>
      <c r="J36" s="22">
        <f t="shared" si="2"/>
        <v>0.08032252249115239</v>
      </c>
      <c r="K36" s="26">
        <f t="shared" si="3"/>
        <v>0.48088985436893206</v>
      </c>
      <c r="L36" s="14">
        <f t="shared" si="4"/>
        <v>0</v>
      </c>
      <c r="M36" s="27">
        <f t="shared" si="5"/>
        <v>0.48088985436893206</v>
      </c>
    </row>
    <row r="37" spans="1:13" ht="15">
      <c r="A37" s="4">
        <v>2011</v>
      </c>
      <c r="B37" s="3">
        <v>121319461768628</v>
      </c>
      <c r="C37" s="3">
        <v>27266000000000</v>
      </c>
      <c r="D37" s="3">
        <v>13186136100000.002</v>
      </c>
      <c r="E37" s="3">
        <v>13186136100000</v>
      </c>
      <c r="F37" s="3">
        <v>0</v>
      </c>
      <c r="G37" s="19">
        <f t="shared" si="6"/>
        <v>0</v>
      </c>
      <c r="H37" s="21">
        <f t="shared" si="0"/>
        <v>0.10868937190924632</v>
      </c>
      <c r="I37" s="13">
        <f t="shared" si="1"/>
        <v>0</v>
      </c>
      <c r="J37" s="22">
        <f t="shared" si="2"/>
        <v>0.10868937190924634</v>
      </c>
      <c r="K37" s="26">
        <f t="shared" si="3"/>
        <v>0.4836109477004328</v>
      </c>
      <c r="L37" s="14">
        <f t="shared" si="4"/>
        <v>0</v>
      </c>
      <c r="M37" s="27">
        <f t="shared" si="5"/>
        <v>0.48361094770043284</v>
      </c>
    </row>
    <row r="38" spans="1:13" ht="15">
      <c r="A38" s="4">
        <v>2012</v>
      </c>
      <c r="B38" s="3">
        <v>129027552548843</v>
      </c>
      <c r="C38" s="3">
        <v>27579000000000</v>
      </c>
      <c r="D38" s="3">
        <v>12905054500000</v>
      </c>
      <c r="E38" s="3">
        <v>12905054500000</v>
      </c>
      <c r="F38" s="3">
        <v>0</v>
      </c>
      <c r="G38" s="19">
        <f t="shared" si="6"/>
        <v>0</v>
      </c>
      <c r="H38" s="21">
        <f t="shared" si="0"/>
        <v>0.1000178197994946</v>
      </c>
      <c r="I38" s="13">
        <f t="shared" si="1"/>
        <v>0</v>
      </c>
      <c r="J38" s="22">
        <f t="shared" si="2"/>
        <v>0.1000178197994946</v>
      </c>
      <c r="K38" s="26">
        <f t="shared" si="3"/>
        <v>0.4679304724609304</v>
      </c>
      <c r="L38" s="14">
        <f t="shared" si="4"/>
        <v>0</v>
      </c>
      <c r="M38" s="27">
        <f t="shared" si="5"/>
        <v>0.4679304724609304</v>
      </c>
    </row>
    <row r="39" spans="1:13" ht="15">
      <c r="A39" s="4">
        <v>2013</v>
      </c>
      <c r="B39" s="3">
        <v>137028983392428.02</v>
      </c>
      <c r="C39" s="3">
        <v>27381000000000</v>
      </c>
      <c r="D39" s="3">
        <v>13033022199999.998</v>
      </c>
      <c r="E39" s="3">
        <v>13033022200000</v>
      </c>
      <c r="F39" s="3">
        <v>0</v>
      </c>
      <c r="G39" s="19">
        <f t="shared" si="6"/>
        <v>0</v>
      </c>
      <c r="H39" s="21">
        <f t="shared" si="0"/>
        <v>0.09511142735895231</v>
      </c>
      <c r="I39" s="13">
        <f t="shared" si="1"/>
        <v>0</v>
      </c>
      <c r="J39" s="22">
        <f t="shared" si="2"/>
        <v>0.0951114273589523</v>
      </c>
      <c r="K39" s="26">
        <f t="shared" si="3"/>
        <v>0.4759878090646799</v>
      </c>
      <c r="L39" s="14">
        <f t="shared" si="4"/>
        <v>0</v>
      </c>
      <c r="M39" s="27">
        <f t="shared" si="5"/>
        <v>0.4759878090646798</v>
      </c>
    </row>
    <row r="40" spans="1:13" ht="15">
      <c r="A40" s="4">
        <v>2014</v>
      </c>
      <c r="B40" s="3">
        <v>147184925067591</v>
      </c>
      <c r="C40" s="17">
        <v>29170735500000</v>
      </c>
      <c r="D40" s="3">
        <v>12908184900000</v>
      </c>
      <c r="E40" s="3">
        <v>12908184900000</v>
      </c>
      <c r="F40" s="3">
        <v>0</v>
      </c>
      <c r="G40" s="19">
        <f t="shared" si="6"/>
        <v>0</v>
      </c>
      <c r="H40" s="23">
        <f>+E40/$B40</f>
        <v>0.0877004550165191</v>
      </c>
      <c r="I40" s="24">
        <f>+F40/$B40</f>
        <v>0</v>
      </c>
      <c r="J40" s="25">
        <f>+D40/$B40</f>
        <v>0.0877004550165191</v>
      </c>
      <c r="K40" s="28">
        <f>+E40/$C40</f>
        <v>0.44250460877134895</v>
      </c>
      <c r="L40" s="29">
        <f>+F40/$C40</f>
        <v>0</v>
      </c>
      <c r="M40" s="30">
        <f>+D40/$C40</f>
        <v>0.44250460877134895</v>
      </c>
    </row>
    <row r="43" ht="15">
      <c r="E43" s="3">
        <v>1000000</v>
      </c>
    </row>
  </sheetData>
  <sheetProtection/>
  <mergeCells count="2">
    <mergeCell ref="H2:J2"/>
    <mergeCell ref="K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Filippi F.</dc:creator>
  <cp:keywords/>
  <dc:description/>
  <cp:lastModifiedBy>José Román P.</cp:lastModifiedBy>
  <cp:lastPrinted>2015-04-30T19:23:20Z</cp:lastPrinted>
  <dcterms:created xsi:type="dcterms:W3CDTF">2015-04-29T12:46:58Z</dcterms:created>
  <dcterms:modified xsi:type="dcterms:W3CDTF">2017-06-27T18:51:05Z</dcterms:modified>
  <cp:category/>
  <cp:version/>
  <cp:contentType/>
  <cp:contentStatus/>
</cp:coreProperties>
</file>